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bookViews>
    <workbookView xWindow="12735" yWindow="-15" windowWidth="2655" windowHeight="8235" tabRatio="408" activeTab="2"/>
  </bookViews>
  <sheets>
    <sheet name="Avertissement" sheetId="11" r:id="rId1"/>
    <sheet name="Note Liminaire" sheetId="7" r:id="rId2"/>
    <sheet name="simulateur" sheetId="4" r:id="rId3"/>
    <sheet name="ch soc" sheetId="1" state="hidden" r:id="rId4"/>
    <sheet name="ch gerant soc " sheetId="5" state="hidden" r:id="rId5"/>
    <sheet name="ir" sheetId="2" state="hidden" r:id="rId6"/>
    <sheet name="base profession" sheetId="6" state="hidden" r:id="rId7"/>
    <sheet name="Feuil1" sheetId="8" state="hidden" r:id="rId8"/>
    <sheet name="Feuil2" sheetId="9" state="hidden" r:id="rId9"/>
    <sheet name="Feuil3" sheetId="10" state="hidden" r:id="rId10"/>
  </sheets>
  <definedNames>
    <definedName name="Médecin">simulateur!$D$10</definedName>
    <definedName name="nombre_parts">simulateur!$E$134</definedName>
    <definedName name="Print_Area" localSheetId="0">Avertissement!$B$2:$B$24</definedName>
    <definedName name="Print_Area" localSheetId="4">'ch gerant soc '!$A$1:$S$48</definedName>
    <definedName name="Print_Area" localSheetId="3">'ch soc'!$A$1:$S$48</definedName>
    <definedName name="Print_Area" localSheetId="1">'Note Liminaire'!$B$2:$B$24</definedName>
    <definedName name="Print_Area" localSheetId="2">simulateur!$A$1:$M$591</definedName>
    <definedName name="Profession">'base profession'!$A$2:$A$20</definedName>
    <definedName name="source_nombre_parts">ir!$B$54:$B$62</definedName>
    <definedName name="_xlnm.Print_Area" localSheetId="2">simulateur!$A$1:$M$590</definedName>
  </definedNames>
  <calcPr calcId="145621"/>
</workbook>
</file>

<file path=xl/calcChain.xml><?xml version="1.0" encoding="utf-8"?>
<calcChain xmlns="http://schemas.openxmlformats.org/spreadsheetml/2006/main">
  <c r="L71" i="4" l="1"/>
  <c r="F17" i="4"/>
  <c r="J314" i="4" l="1"/>
  <c r="J329" i="4"/>
  <c r="C44" i="4"/>
  <c r="F446" i="4"/>
  <c r="H44" i="4"/>
  <c r="G543" i="4"/>
  <c r="M140" i="5"/>
  <c r="J322" i="4"/>
  <c r="N10" i="4"/>
  <c r="B39" i="1" s="1"/>
  <c r="F297" i="4"/>
  <c r="E346" i="4" s="1"/>
  <c r="F263" i="4"/>
  <c r="G498" i="4"/>
  <c r="D27" i="5"/>
  <c r="G516" i="4"/>
  <c r="I516" i="4"/>
  <c r="I510" i="4"/>
  <c r="G510" i="4" s="1"/>
  <c r="G541" i="4"/>
  <c r="I539" i="4"/>
  <c r="F456" i="4"/>
  <c r="F426" i="4"/>
  <c r="F422" i="4"/>
  <c r="F428" i="4" s="1"/>
  <c r="F429" i="4" s="1"/>
  <c r="D25" i="5"/>
  <c r="B25" i="5"/>
  <c r="L65" i="4"/>
  <c r="J143" i="5"/>
  <c r="L130" i="5"/>
  <c r="J128" i="5"/>
  <c r="M127" i="5"/>
  <c r="D24" i="5"/>
  <c r="AU91" i="5" s="1"/>
  <c r="L50" i="4"/>
  <c r="L53" i="4" s="1"/>
  <c r="J326" i="4"/>
  <c r="J325" i="4"/>
  <c r="J335" i="4"/>
  <c r="J338" i="4" s="1"/>
  <c r="J318" i="4"/>
  <c r="G496" i="4" s="1"/>
  <c r="J354" i="4"/>
  <c r="J356" i="4" s="1"/>
  <c r="J350" i="4"/>
  <c r="J352" i="4" s="1"/>
  <c r="J312" i="4"/>
  <c r="J308" i="4"/>
  <c r="J301" i="4"/>
  <c r="J300" i="4"/>
  <c r="G168" i="4"/>
  <c r="E27" i="1"/>
  <c r="H303" i="4"/>
  <c r="F303" i="4"/>
  <c r="L74" i="4"/>
  <c r="B24" i="5"/>
  <c r="O91" i="5" s="1"/>
  <c r="I114" i="1"/>
  <c r="O147" i="1"/>
  <c r="O145" i="1"/>
  <c r="G1" i="5"/>
  <c r="A139" i="5"/>
  <c r="D130" i="5"/>
  <c r="B120" i="5"/>
  <c r="Y89" i="5"/>
  <c r="Y88" i="5"/>
  <c r="W89" i="5"/>
  <c r="W88" i="5"/>
  <c r="U89" i="5"/>
  <c r="U88" i="5"/>
  <c r="S89" i="5"/>
  <c r="S88" i="5"/>
  <c r="Q89" i="5"/>
  <c r="Q88" i="5"/>
  <c r="M89" i="5"/>
  <c r="L88" i="5"/>
  <c r="K89" i="5"/>
  <c r="K88" i="5"/>
  <c r="I89" i="5"/>
  <c r="I88" i="5"/>
  <c r="G89" i="5"/>
  <c r="G88" i="5"/>
  <c r="E89" i="5"/>
  <c r="E88" i="5"/>
  <c r="C89" i="5"/>
  <c r="C88" i="5"/>
  <c r="A111" i="5"/>
  <c r="A109" i="5"/>
  <c r="B107" i="5"/>
  <c r="A104" i="5"/>
  <c r="A105" i="5"/>
  <c r="A106" i="5"/>
  <c r="A107" i="5"/>
  <c r="A103" i="5"/>
  <c r="A100" i="5"/>
  <c r="A101" i="5"/>
  <c r="A99" i="5"/>
  <c r="A95" i="5"/>
  <c r="A96" i="5"/>
  <c r="A88" i="5"/>
  <c r="A64" i="5"/>
  <c r="A61" i="5"/>
  <c r="A60" i="5"/>
  <c r="A58" i="5"/>
  <c r="A45" i="5"/>
  <c r="A46" i="5"/>
  <c r="A47" i="5"/>
  <c r="A48" i="5"/>
  <c r="A49" i="5"/>
  <c r="A51" i="5"/>
  <c r="A52" i="5"/>
  <c r="A53" i="5"/>
  <c r="A54" i="5"/>
  <c r="A55" i="5"/>
  <c r="A44" i="5"/>
  <c r="A42" i="5"/>
  <c r="B38" i="5"/>
  <c r="A38" i="5"/>
  <c r="C15" i="5"/>
  <c r="A5" i="5"/>
  <c r="A6" i="5"/>
  <c r="A4" i="5"/>
  <c r="A3" i="5"/>
  <c r="B1" i="5"/>
  <c r="A1" i="5"/>
  <c r="A33" i="5"/>
  <c r="A31" i="5"/>
  <c r="A28" i="5"/>
  <c r="A25" i="5"/>
  <c r="A24" i="5"/>
  <c r="A22" i="5"/>
  <c r="Y145" i="1"/>
  <c r="W136" i="1"/>
  <c r="U145" i="1"/>
  <c r="S147" i="1"/>
  <c r="S145" i="1"/>
  <c r="S136" i="1"/>
  <c r="Q147" i="1"/>
  <c r="Q145" i="1"/>
  <c r="Q136" i="1"/>
  <c r="M147" i="1"/>
  <c r="M145" i="1"/>
  <c r="I147" i="1"/>
  <c r="I146" i="1"/>
  <c r="I145" i="1"/>
  <c r="G147" i="1"/>
  <c r="G145" i="1"/>
  <c r="I136" i="1"/>
  <c r="G136" i="1"/>
  <c r="E145" i="1"/>
  <c r="E132" i="1"/>
  <c r="S23" i="5"/>
  <c r="AO105" i="5" s="1"/>
  <c r="S22" i="5"/>
  <c r="R23" i="5"/>
  <c r="R22" i="5"/>
  <c r="Q14" i="5"/>
  <c r="AI104" i="5" s="1"/>
  <c r="P14" i="5"/>
  <c r="K6" i="5"/>
  <c r="S46" i="5"/>
  <c r="AQ105" i="5" s="1"/>
  <c r="S47" i="5"/>
  <c r="S48" i="5"/>
  <c r="AS105" i="5" s="1"/>
  <c r="R47" i="5"/>
  <c r="R48" i="5"/>
  <c r="R46" i="5"/>
  <c r="O46" i="5"/>
  <c r="AQ103" i="5" s="1"/>
  <c r="O48" i="5"/>
  <c r="O45" i="5"/>
  <c r="AQ100" i="5" s="1"/>
  <c r="N46" i="5"/>
  <c r="N48" i="5"/>
  <c r="N45" i="5"/>
  <c r="M38" i="5"/>
  <c r="M39" i="5"/>
  <c r="M40" i="5"/>
  <c r="M41" i="5"/>
  <c r="M42" i="5"/>
  <c r="M37" i="5"/>
  <c r="L38" i="5"/>
  <c r="L39" i="5"/>
  <c r="L40" i="5"/>
  <c r="L41" i="5"/>
  <c r="L42" i="5"/>
  <c r="L37" i="5"/>
  <c r="S40" i="5"/>
  <c r="S42" i="5"/>
  <c r="R40" i="5"/>
  <c r="R41" i="5"/>
  <c r="R42" i="5"/>
  <c r="O10" i="5"/>
  <c r="G103" i="5" s="1"/>
  <c r="O14" i="5"/>
  <c r="AI103" i="5" s="1"/>
  <c r="O15" i="5"/>
  <c r="O16" i="5"/>
  <c r="O17" i="5"/>
  <c r="O18" i="5"/>
  <c r="O19" i="5"/>
  <c r="O20" i="5"/>
  <c r="O21" i="5"/>
  <c r="O22" i="5"/>
  <c r="O23" i="5"/>
  <c r="O24" i="5"/>
  <c r="AC103" i="5" s="1"/>
  <c r="O31" i="5"/>
  <c r="AU103" i="5" s="1"/>
  <c r="O37" i="5"/>
  <c r="AY103" i="5" s="1"/>
  <c r="N10" i="5"/>
  <c r="N14" i="5"/>
  <c r="N17" i="5"/>
  <c r="N23" i="5"/>
  <c r="N24" i="5"/>
  <c r="N31" i="5"/>
  <c r="N35" i="5"/>
  <c r="N36" i="5"/>
  <c r="N37" i="5"/>
  <c r="M4" i="5"/>
  <c r="M9" i="5"/>
  <c r="M10" i="5"/>
  <c r="M14" i="5"/>
  <c r="M15" i="5"/>
  <c r="M16" i="5"/>
  <c r="M17" i="5"/>
  <c r="M18" i="5"/>
  <c r="M19" i="5"/>
  <c r="M20" i="5"/>
  <c r="M21" i="5"/>
  <c r="M22" i="5"/>
  <c r="M23" i="5"/>
  <c r="M24" i="5"/>
  <c r="M25" i="5"/>
  <c r="M26" i="5"/>
  <c r="M27" i="5"/>
  <c r="M28" i="5"/>
  <c r="M29" i="5"/>
  <c r="M30" i="5"/>
  <c r="M31" i="5"/>
  <c r="M32" i="5"/>
  <c r="M33" i="5"/>
  <c r="M35" i="5"/>
  <c r="M36" i="5"/>
  <c r="W100" i="5" s="1"/>
  <c r="M3" i="5"/>
  <c r="L7" i="5"/>
  <c r="L4" i="5"/>
  <c r="L9" i="5"/>
  <c r="L10" i="5"/>
  <c r="L15" i="5"/>
  <c r="L16" i="5"/>
  <c r="L17" i="5"/>
  <c r="L18" i="5"/>
  <c r="L19" i="5"/>
  <c r="L20" i="5"/>
  <c r="L21" i="5"/>
  <c r="L22" i="5"/>
  <c r="L23" i="5"/>
  <c r="L24" i="5"/>
  <c r="L25" i="5"/>
  <c r="L26" i="5"/>
  <c r="L27" i="5"/>
  <c r="L28" i="5"/>
  <c r="L29" i="5"/>
  <c r="L30" i="5"/>
  <c r="L31" i="5"/>
  <c r="L32" i="5"/>
  <c r="L33" i="5"/>
  <c r="L35" i="5"/>
  <c r="L3" i="5"/>
  <c r="K4" i="5"/>
  <c r="K5" i="5"/>
  <c r="K7" i="5"/>
  <c r="K9" i="5"/>
  <c r="K10" i="5"/>
  <c r="K11" i="5"/>
  <c r="G100" i="5" s="1"/>
  <c r="K13" i="5"/>
  <c r="K14" i="5"/>
  <c r="K15" i="5"/>
  <c r="K16" i="5"/>
  <c r="K17" i="5"/>
  <c r="K18" i="5"/>
  <c r="K19" i="5"/>
  <c r="K20" i="5"/>
  <c r="K21" i="5"/>
  <c r="K22" i="5"/>
  <c r="K23" i="5"/>
  <c r="K24" i="5"/>
  <c r="K25" i="5"/>
  <c r="K26" i="5"/>
  <c r="K27" i="5"/>
  <c r="K28" i="5"/>
  <c r="K29" i="5"/>
  <c r="K30" i="5"/>
  <c r="K31" i="5"/>
  <c r="K32" i="5"/>
  <c r="K33" i="5"/>
  <c r="K37" i="5"/>
  <c r="K38" i="5"/>
  <c r="K39" i="5"/>
  <c r="K40" i="5"/>
  <c r="K41" i="5"/>
  <c r="K42" i="5"/>
  <c r="K3" i="5"/>
  <c r="J4" i="5"/>
  <c r="J5" i="5"/>
  <c r="J6" i="5"/>
  <c r="J7" i="5"/>
  <c r="J9" i="5"/>
  <c r="J10" i="5"/>
  <c r="J11" i="5"/>
  <c r="J13" i="5"/>
  <c r="J14" i="5"/>
  <c r="J15" i="5"/>
  <c r="J16" i="5"/>
  <c r="J17" i="5"/>
  <c r="J18" i="5"/>
  <c r="J19" i="5"/>
  <c r="J20" i="5"/>
  <c r="J21" i="5"/>
  <c r="J22" i="5"/>
  <c r="J23" i="5"/>
  <c r="J24" i="5"/>
  <c r="J25" i="5"/>
  <c r="J26" i="5"/>
  <c r="J27" i="5"/>
  <c r="J28" i="5"/>
  <c r="J29" i="5"/>
  <c r="J30" i="5"/>
  <c r="J31" i="5"/>
  <c r="J35" i="5"/>
  <c r="J37" i="5"/>
  <c r="J45" i="5"/>
  <c r="J46" i="5"/>
  <c r="J48" i="5"/>
  <c r="J3" i="5"/>
  <c r="H4" i="5"/>
  <c r="H5" i="5"/>
  <c r="D77" i="5" s="1"/>
  <c r="H6" i="5"/>
  <c r="N78" i="5" s="1"/>
  <c r="H7" i="5"/>
  <c r="H8" i="5"/>
  <c r="H9" i="5"/>
  <c r="H10" i="5"/>
  <c r="H16" i="5"/>
  <c r="H17" i="5"/>
  <c r="D128" i="5" s="1"/>
  <c r="H18" i="5"/>
  <c r="D129" i="5" s="1"/>
  <c r="H19" i="5"/>
  <c r="B141" i="5" s="1"/>
  <c r="G4" i="5"/>
  <c r="G5" i="5"/>
  <c r="G6" i="5"/>
  <c r="G7" i="5"/>
  <c r="G8" i="5"/>
  <c r="G9" i="5"/>
  <c r="G10" i="5"/>
  <c r="G16" i="5"/>
  <c r="G17" i="5"/>
  <c r="G18" i="5"/>
  <c r="G19" i="5"/>
  <c r="G3" i="5"/>
  <c r="E102" i="1"/>
  <c r="E94" i="1"/>
  <c r="F115" i="1"/>
  <c r="L14" i="1"/>
  <c r="L14" i="5"/>
  <c r="G85" i="1"/>
  <c r="D185" i="1"/>
  <c r="D184" i="1"/>
  <c r="D176" i="1"/>
  <c r="D175" i="1"/>
  <c r="D170" i="1"/>
  <c r="D169" i="1"/>
  <c r="S14" i="5"/>
  <c r="AI105" i="5" s="1"/>
  <c r="R14" i="5"/>
  <c r="Q10" i="5"/>
  <c r="G105" i="5" s="1"/>
  <c r="P10" i="5"/>
  <c r="O3" i="5"/>
  <c r="AE103" i="5" s="1"/>
  <c r="N3" i="5"/>
  <c r="H3" i="5"/>
  <c r="D161" i="1"/>
  <c r="E161" i="1"/>
  <c r="D162" i="1"/>
  <c r="E162" i="1"/>
  <c r="D163" i="1"/>
  <c r="E163" i="1"/>
  <c r="D164" i="1"/>
  <c r="E164" i="1"/>
  <c r="E6" i="5"/>
  <c r="E5" i="5"/>
  <c r="E4" i="5"/>
  <c r="O82" i="5" s="1"/>
  <c r="E3" i="5"/>
  <c r="O83" i="5" s="1"/>
  <c r="C145" i="1"/>
  <c r="D94" i="1"/>
  <c r="I518" i="4"/>
  <c r="G518" i="4" s="1"/>
  <c r="I520" i="4"/>
  <c r="G520" i="4" s="1"/>
  <c r="F269" i="4"/>
  <c r="B27" i="5" s="1"/>
  <c r="G409" i="4"/>
  <c r="G539" i="4" s="1"/>
  <c r="F452" i="4"/>
  <c r="B83" i="1"/>
  <c r="B82" i="1"/>
  <c r="B76" i="1"/>
  <c r="B75" i="1"/>
  <c r="D103" i="1"/>
  <c r="D102" i="1"/>
  <c r="D95" i="1"/>
  <c r="E9" i="2"/>
  <c r="E11" i="2"/>
  <c r="E14" i="2"/>
  <c r="E17" i="2"/>
  <c r="I9" i="2"/>
  <c r="I11" i="2"/>
  <c r="F9" i="2"/>
  <c r="F11" i="2"/>
  <c r="D9" i="2"/>
  <c r="D11" i="2"/>
  <c r="G9" i="2"/>
  <c r="G11" i="2"/>
  <c r="H9" i="2"/>
  <c r="H11" i="2"/>
  <c r="J9" i="2"/>
  <c r="J11" i="2"/>
  <c r="K9" i="2"/>
  <c r="K11" i="2"/>
  <c r="E20" i="2"/>
  <c r="F433" i="4"/>
  <c r="M105" i="5"/>
  <c r="I104" i="5"/>
  <c r="M103" i="5"/>
  <c r="O105" i="5"/>
  <c r="B27" i="1"/>
  <c r="D27" i="1"/>
  <c r="F27" i="1"/>
  <c r="C27" i="1"/>
  <c r="AM105" i="5"/>
  <c r="L129" i="5"/>
  <c r="F430" i="4"/>
  <c r="AG103" i="5"/>
  <c r="L128" i="5"/>
  <c r="U103" i="5"/>
  <c r="AM103" i="5"/>
  <c r="O103" i="5"/>
  <c r="AO103" i="5"/>
  <c r="AI100" i="5"/>
  <c r="E82" i="5"/>
  <c r="AW100" i="5"/>
  <c r="D78" i="5"/>
  <c r="S100" i="5"/>
  <c r="AS100" i="5"/>
  <c r="I100" i="5"/>
  <c r="AE96" i="5"/>
  <c r="E96" i="5"/>
  <c r="AS103" i="5"/>
  <c r="S103" i="5"/>
  <c r="Q105" i="5"/>
  <c r="Q100" i="5" l="1"/>
  <c r="N77" i="5"/>
  <c r="S105" i="5"/>
  <c r="Q103" i="5"/>
  <c r="I103" i="5"/>
  <c r="D123" i="5"/>
  <c r="E123" i="5" s="1"/>
  <c r="AG100" i="5"/>
  <c r="Y103" i="5"/>
  <c r="C103" i="5"/>
  <c r="E83" i="5"/>
  <c r="F448" i="4"/>
  <c r="B50" i="1"/>
  <c r="D53" i="5"/>
  <c r="B51" i="1"/>
  <c r="B40" i="5"/>
  <c r="E77" i="5"/>
  <c r="O77" i="5"/>
  <c r="AG105" i="5"/>
  <c r="C91" i="5"/>
  <c r="C70" i="5"/>
  <c r="M70" i="5"/>
  <c r="J141" i="5"/>
  <c r="AU100" i="5"/>
  <c r="B48" i="1"/>
  <c r="B54" i="5"/>
  <c r="E140" i="5"/>
  <c r="AO91" i="5"/>
  <c r="AG91" i="5"/>
  <c r="AI91" i="5"/>
  <c r="AM91" i="5"/>
  <c r="AC91" i="5"/>
  <c r="B51" i="5"/>
  <c r="K35" i="1"/>
  <c r="W135" i="1" s="1"/>
  <c r="B49" i="5"/>
  <c r="B53" i="1"/>
  <c r="D55" i="5"/>
  <c r="B52" i="5"/>
  <c r="D18" i="5"/>
  <c r="D18" i="1"/>
  <c r="AQ91" i="5"/>
  <c r="AS91" i="5"/>
  <c r="AW91" i="5"/>
  <c r="AY91" i="5"/>
  <c r="AK91" i="5"/>
  <c r="AK103" i="5" s="1"/>
  <c r="AE91" i="5"/>
  <c r="J302" i="4"/>
  <c r="J303" i="4" s="1"/>
  <c r="J309" i="4" s="1"/>
  <c r="J357" i="4"/>
  <c r="D51" i="5"/>
  <c r="D49" i="5"/>
  <c r="B52" i="1"/>
  <c r="B53" i="5"/>
  <c r="D54" i="5"/>
  <c r="B54" i="1"/>
  <c r="B55" i="5"/>
  <c r="D52" i="5"/>
  <c r="D40" i="5"/>
  <c r="B18" i="5"/>
  <c r="J333" i="4"/>
  <c r="J360" i="4" s="1"/>
  <c r="K91" i="5"/>
  <c r="K103" i="5" s="1"/>
  <c r="M91" i="5"/>
  <c r="S91" i="5"/>
  <c r="Q91" i="5"/>
  <c r="I522" i="4"/>
  <c r="Y91" i="5"/>
  <c r="U91" i="5"/>
  <c r="U100" i="5" s="1"/>
  <c r="G91" i="5"/>
  <c r="W91" i="5"/>
  <c r="I91" i="5"/>
  <c r="E91" i="5"/>
  <c r="G522" i="4"/>
  <c r="I105" i="5"/>
  <c r="E103" i="5"/>
  <c r="J339" i="4" l="1"/>
  <c r="K35" i="5"/>
  <c r="AW99" i="5" s="1"/>
  <c r="W99" i="5" l="1"/>
  <c r="B45" i="5" l="1"/>
  <c r="D45" i="5"/>
  <c r="B44" i="1"/>
  <c r="B47" i="5"/>
  <c r="D47" i="5"/>
  <c r="B46" i="1"/>
  <c r="B46" i="5" l="1"/>
  <c r="D46" i="5"/>
  <c r="B45" i="1"/>
  <c r="B44" i="5"/>
  <c r="D44" i="5"/>
  <c r="B43" i="1"/>
  <c r="D58" i="5"/>
  <c r="M134" i="5"/>
  <c r="E61" i="5"/>
  <c r="E62" i="5"/>
  <c r="I101" i="5"/>
  <c r="I106" i="5"/>
  <c r="M109" i="5"/>
  <c r="M101" i="5"/>
  <c r="O109" i="5"/>
  <c r="AI106" i="5"/>
  <c r="AI101" i="5"/>
  <c r="AM109" i="5"/>
  <c r="AM101" i="5"/>
  <c r="AO109" i="5"/>
  <c r="AO101" i="5"/>
  <c r="D31" i="1"/>
  <c r="E31" i="1"/>
  <c r="B31" i="1"/>
  <c r="C31" i="1"/>
  <c r="F31" i="1"/>
  <c r="L582" i="4"/>
  <c r="D31" i="5"/>
  <c r="E105" i="1"/>
  <c r="C76" i="1"/>
  <c r="N140" i="1"/>
  <c r="Q127" i="1"/>
  <c r="R140" i="1"/>
  <c r="D140" i="1"/>
  <c r="F140" i="1"/>
  <c r="T140" i="1"/>
  <c r="L140" i="1"/>
  <c r="J140" i="1"/>
  <c r="H140" i="1"/>
  <c r="W127" i="1"/>
  <c r="B140" i="1"/>
  <c r="Q148" i="1"/>
  <c r="P140" i="1"/>
  <c r="I148" i="1"/>
  <c r="G72" i="1"/>
  <c r="D72" i="1"/>
  <c r="F72" i="1"/>
  <c r="E72" i="1"/>
  <c r="G99" i="1"/>
  <c r="F99" i="1"/>
  <c r="I99" i="1"/>
  <c r="H99" i="1"/>
  <c r="M141" i="1"/>
  <c r="O141" i="1"/>
  <c r="C141" i="1"/>
  <c r="U141" i="1"/>
  <c r="B33" i="1"/>
  <c r="W141" i="1"/>
  <c r="G141" i="1"/>
  <c r="F141" i="1"/>
  <c r="N141" i="1"/>
  <c r="K141" i="1"/>
  <c r="Y141" i="1"/>
  <c r="I141" i="1"/>
  <c r="R141" i="1"/>
  <c r="D141" i="1"/>
  <c r="J141" i="1"/>
  <c r="H141" i="1"/>
  <c r="B141" i="1"/>
  <c r="P141" i="1"/>
  <c r="S141" i="1"/>
  <c r="T141" i="1"/>
  <c r="Q141" i="1"/>
  <c r="L141" i="1"/>
  <c r="C164" i="1"/>
  <c r="F33" i="1"/>
  <c r="E210" i="1"/>
  <c r="E209" i="1"/>
  <c r="E212" i="1"/>
  <c r="E211" i="1"/>
  <c r="AS101" i="5"/>
  <c r="J317" i="4"/>
  <c r="G415" i="4"/>
  <c r="G478" i="4"/>
  <c r="I35" i="2"/>
  <c r="H112" i="4"/>
  <c r="L62" i="4"/>
  <c r="G101" i="5"/>
  <c r="K35" i="2"/>
  <c r="J33" i="2"/>
  <c r="K46" i="2"/>
  <c r="AS95" i="5"/>
  <c r="AS111" i="5"/>
  <c r="K32" i="2"/>
  <c r="I32" i="2"/>
  <c r="H46" i="2"/>
  <c r="K140" i="1"/>
  <c r="K142" i="1"/>
  <c r="J30" i="2"/>
  <c r="G154" i="4"/>
  <c r="M137" i="1"/>
  <c r="M127" i="1"/>
  <c r="M153" i="1"/>
  <c r="Q106" i="5"/>
  <c r="I94" i="5"/>
  <c r="I95" i="5"/>
  <c r="I111" i="5"/>
  <c r="H286" i="4"/>
  <c r="S127" i="1"/>
  <c r="S137" i="1"/>
  <c r="C83" i="1"/>
  <c r="C33" i="1"/>
  <c r="E112" i="1"/>
  <c r="D119" i="4"/>
  <c r="E129" i="5"/>
  <c r="C140" i="1"/>
  <c r="C142" i="1"/>
  <c r="C131" i="1"/>
  <c r="C155" i="1"/>
  <c r="H113" i="4"/>
  <c r="E185" i="1"/>
  <c r="W111" i="5"/>
  <c r="AG101" i="5"/>
  <c r="AS94" i="5"/>
  <c r="L97" i="4"/>
  <c r="E111" i="5"/>
  <c r="K145" i="1"/>
  <c r="K127" i="1"/>
  <c r="K137" i="1"/>
  <c r="E84" i="5"/>
  <c r="AO94" i="5"/>
  <c r="AO95" i="5"/>
  <c r="AO111" i="5"/>
  <c r="G118" i="1"/>
  <c r="G34" i="2"/>
  <c r="I140" i="1"/>
  <c r="I142" i="1"/>
  <c r="I131" i="1"/>
  <c r="I155" i="1"/>
  <c r="Y140" i="1"/>
  <c r="Y142" i="1"/>
  <c r="Y131" i="1"/>
  <c r="Y155" i="1"/>
  <c r="I116" i="1"/>
  <c r="Y100" i="5"/>
  <c r="AW111" i="5"/>
  <c r="E101" i="5"/>
  <c r="E94" i="5"/>
  <c r="E95" i="5"/>
  <c r="J316" i="4"/>
  <c r="G480" i="4"/>
  <c r="O131" i="1"/>
  <c r="O155" i="1"/>
  <c r="O140" i="1"/>
  <c r="O142" i="1"/>
  <c r="F26" i="1"/>
  <c r="F29" i="1"/>
  <c r="AY100" i="5"/>
  <c r="I113" i="1"/>
  <c r="J392" i="4"/>
  <c r="M129" i="5"/>
  <c r="AE111" i="5"/>
  <c r="K101" i="5"/>
  <c r="W140" i="1"/>
  <c r="W142" i="1"/>
  <c r="W131" i="1"/>
  <c r="W155" i="1"/>
  <c r="S101" i="5"/>
  <c r="E137" i="1"/>
  <c r="I96" i="1"/>
  <c r="AU111" i="5"/>
  <c r="F46" i="2"/>
  <c r="E78" i="5"/>
  <c r="E79" i="5"/>
  <c r="M140" i="1"/>
  <c r="M142" i="1"/>
  <c r="L584" i="4"/>
  <c r="C34" i="2"/>
  <c r="G482" i="4"/>
  <c r="AG94" i="5"/>
  <c r="AG95" i="5"/>
  <c r="AG111" i="5"/>
  <c r="D189" i="4"/>
  <c r="AI94" i="5"/>
  <c r="AI95" i="5"/>
  <c r="AI111" i="5"/>
  <c r="I106" i="1"/>
  <c r="J42" i="2"/>
  <c r="G86" i="4"/>
  <c r="L86" i="4"/>
  <c r="J40" i="2"/>
  <c r="J34" i="2"/>
  <c r="F60" i="1"/>
  <c r="K44" i="2"/>
  <c r="E280" i="4"/>
  <c r="F458" i="4"/>
  <c r="M94" i="5"/>
  <c r="M95" i="5"/>
  <c r="M111" i="5"/>
  <c r="J32" i="2"/>
  <c r="J35" i="2"/>
  <c r="C185" i="1"/>
  <c r="E188" i="1"/>
  <c r="Q131" i="1"/>
  <c r="Q155" i="1"/>
  <c r="Q140" i="1"/>
  <c r="Q142" i="1"/>
  <c r="E282" i="4"/>
  <c r="E105" i="4"/>
  <c r="C161" i="1"/>
  <c r="E179" i="1"/>
  <c r="G87" i="1"/>
  <c r="O81" i="5"/>
  <c r="F44" i="2"/>
  <c r="L573" i="4"/>
  <c r="M131" i="1"/>
  <c r="M155" i="1"/>
  <c r="C280" i="4"/>
  <c r="G574" i="4"/>
  <c r="Q111" i="5"/>
  <c r="G30" i="2"/>
  <c r="G33" i="2"/>
  <c r="J31" i="2"/>
  <c r="K42" i="2"/>
  <c r="O111" i="5"/>
  <c r="E113" i="1"/>
  <c r="F87" i="1"/>
  <c r="H34" i="2"/>
  <c r="F39" i="5"/>
  <c r="G39" i="5"/>
  <c r="E39" i="5"/>
  <c r="E107" i="4"/>
  <c r="E109" i="4"/>
  <c r="C570" i="4"/>
  <c r="U140" i="1"/>
  <c r="U142" i="1"/>
  <c r="U131" i="1"/>
  <c r="U155" i="1"/>
  <c r="H32" i="2"/>
  <c r="H35" i="2"/>
  <c r="I46" i="2"/>
  <c r="G127" i="1"/>
  <c r="G137" i="1"/>
  <c r="E111" i="1"/>
  <c r="C129" i="5"/>
  <c r="E139" i="5"/>
  <c r="E141" i="5"/>
  <c r="AW94" i="5"/>
  <c r="AW95" i="5"/>
  <c r="D42" i="2"/>
  <c r="G545" i="4"/>
  <c r="G547" i="4"/>
  <c r="E128" i="1"/>
  <c r="C107" i="4"/>
  <c r="O137" i="1"/>
  <c r="O127" i="1"/>
  <c r="O153" i="1"/>
  <c r="AM94" i="5"/>
  <c r="AM95" i="5"/>
  <c r="AM111" i="5"/>
  <c r="M130" i="5"/>
  <c r="G140" i="1"/>
  <c r="G142" i="1"/>
  <c r="G131" i="1"/>
  <c r="G155" i="1"/>
  <c r="F30" i="2"/>
  <c r="F33" i="2"/>
  <c r="I127" i="1"/>
  <c r="I137" i="1"/>
  <c r="E134" i="5"/>
  <c r="E130" i="5"/>
  <c r="B58" i="5"/>
  <c r="G94" i="5"/>
  <c r="G95" i="5"/>
  <c r="G111" i="5"/>
  <c r="K34" i="2"/>
  <c r="K31" i="2"/>
  <c r="K40" i="2"/>
  <c r="O101" i="5"/>
  <c r="O94" i="5"/>
  <c r="O95" i="5"/>
  <c r="D32" i="2"/>
  <c r="D35" i="2"/>
  <c r="I42" i="2"/>
  <c r="C46" i="2"/>
  <c r="E176" i="1"/>
  <c r="D48" i="5"/>
  <c r="F112" i="4"/>
  <c r="G146" i="4"/>
  <c r="I480" i="4"/>
  <c r="G67" i="1"/>
  <c r="F67" i="1"/>
  <c r="D34" i="2"/>
  <c r="D31" i="2"/>
  <c r="D40" i="2"/>
  <c r="AE95" i="5"/>
  <c r="AE94" i="5"/>
  <c r="AE101" i="5"/>
  <c r="G151" i="4"/>
  <c r="G157" i="4"/>
  <c r="AK101" i="5"/>
  <c r="G524" i="4"/>
  <c r="S94" i="5"/>
  <c r="S95" i="5"/>
  <c r="S111" i="5"/>
  <c r="F285" i="4"/>
  <c r="F42" i="2"/>
  <c r="E99" i="1"/>
  <c r="L580" i="4"/>
  <c r="G170" i="4"/>
  <c r="K41" i="2"/>
  <c r="K43" i="2"/>
  <c r="Y94" i="5"/>
  <c r="Y95" i="5"/>
  <c r="Y111" i="5"/>
  <c r="Y127" i="1"/>
  <c r="Y136" i="1"/>
  <c r="G46" i="2"/>
  <c r="I30" i="2"/>
  <c r="I33" i="2"/>
  <c r="AC100" i="5"/>
  <c r="J324" i="4"/>
  <c r="I482" i="4"/>
  <c r="F32" i="2"/>
  <c r="F35" i="2"/>
  <c r="D463" i="4"/>
  <c r="F435" i="4"/>
  <c r="G463" i="4"/>
  <c r="S140" i="1"/>
  <c r="S142" i="1"/>
  <c r="S131" i="1"/>
  <c r="S155" i="1"/>
  <c r="AY94" i="5"/>
  <c r="AY95" i="5"/>
  <c r="AY111" i="5"/>
  <c r="C100" i="5"/>
  <c r="F41" i="2"/>
  <c r="F43" i="2"/>
  <c r="F40" i="2"/>
  <c r="F31" i="2"/>
  <c r="F34" i="2"/>
  <c r="E181" i="1"/>
  <c r="L95" i="4"/>
  <c r="M128" i="5"/>
  <c r="Q94" i="5"/>
  <c r="Q95" i="5"/>
  <c r="I34" i="2"/>
  <c r="I31" i="2"/>
  <c r="I40" i="2"/>
  <c r="D46" i="2"/>
  <c r="C127" i="1"/>
  <c r="C136" i="1"/>
  <c r="U111" i="5"/>
  <c r="G84" i="1"/>
  <c r="C94" i="5"/>
  <c r="C95" i="5"/>
  <c r="C111" i="5"/>
  <c r="H44" i="2"/>
  <c r="AK94" i="5"/>
  <c r="AK95" i="5"/>
  <c r="AK111" i="5"/>
  <c r="E33" i="1"/>
  <c r="C82" i="1"/>
  <c r="C84" i="1"/>
  <c r="E111" i="4"/>
  <c r="G144" i="4"/>
  <c r="I478" i="4"/>
  <c r="I484" i="4"/>
  <c r="E46" i="2"/>
  <c r="K128" i="5"/>
  <c r="D60" i="5"/>
  <c r="U94" i="5"/>
  <c r="U95" i="5"/>
  <c r="L89" i="4"/>
  <c r="AQ106" i="5"/>
  <c r="O84" i="5"/>
  <c r="E200" i="1"/>
  <c r="E207" i="1"/>
  <c r="E42" i="2"/>
  <c r="C30" i="2"/>
  <c r="C33" i="2"/>
  <c r="B59" i="1"/>
  <c r="G73" i="4"/>
  <c r="L73" i="4"/>
  <c r="H30" i="2"/>
  <c r="H33" i="2"/>
  <c r="O78" i="5"/>
  <c r="O79" i="5"/>
  <c r="C123" i="5"/>
  <c r="C128" i="5"/>
  <c r="E128" i="5"/>
  <c r="E155" i="1"/>
  <c r="C26" i="1"/>
  <c r="C29" i="1"/>
  <c r="C44" i="2"/>
  <c r="B26" i="1"/>
  <c r="B29" i="1"/>
  <c r="W94" i="5"/>
  <c r="W95" i="5"/>
  <c r="J46" i="2"/>
  <c r="C32" i="2"/>
  <c r="C35" i="2"/>
  <c r="G77" i="1"/>
  <c r="C31" i="2"/>
  <c r="C40" i="2"/>
  <c r="C42" i="2"/>
  <c r="G96" i="1"/>
  <c r="G116" i="1"/>
  <c r="E106" i="1"/>
  <c r="G189" i="4"/>
  <c r="E127" i="1"/>
  <c r="E131" i="1"/>
  <c r="D42" i="5"/>
  <c r="K123" i="5"/>
  <c r="K129" i="5"/>
  <c r="M139" i="5"/>
  <c r="M141" i="5"/>
  <c r="L570" i="4"/>
  <c r="C75" i="1"/>
  <c r="C77" i="1"/>
  <c r="H96" i="1"/>
  <c r="H116" i="1"/>
  <c r="E81" i="5"/>
  <c r="E177" i="1"/>
  <c r="B48" i="5"/>
  <c r="B31" i="5"/>
  <c r="K30" i="2"/>
  <c r="K33" i="2"/>
  <c r="E34" i="2"/>
  <c r="E31" i="2"/>
  <c r="E40" i="2"/>
  <c r="B60" i="5"/>
  <c r="C170" i="1"/>
  <c r="E170" i="1"/>
  <c r="G475" i="4"/>
  <c r="G484" i="4"/>
  <c r="E171" i="1"/>
  <c r="E192" i="1"/>
  <c r="B57" i="1"/>
  <c r="E175" i="1"/>
  <c r="G31" i="2"/>
  <c r="G40" i="2"/>
  <c r="G42" i="2"/>
  <c r="E190" i="1"/>
  <c r="G148" i="4"/>
  <c r="I545" i="4"/>
  <c r="I547" i="4"/>
  <c r="AQ94" i="5"/>
  <c r="AQ95" i="5"/>
  <c r="AQ111" i="5"/>
  <c r="H41" i="2"/>
  <c r="H43" i="2"/>
  <c r="G512" i="4"/>
  <c r="E44" i="2"/>
  <c r="G32" i="2"/>
  <c r="G35" i="2"/>
  <c r="I41" i="2"/>
  <c r="I43" i="2"/>
  <c r="I44" i="2"/>
  <c r="H31" i="2"/>
  <c r="H40" i="2"/>
  <c r="H42" i="2"/>
  <c r="E67" i="1"/>
  <c r="E87" i="1"/>
  <c r="U127" i="1"/>
  <c r="U136" i="1"/>
  <c r="AU94" i="5"/>
  <c r="AU95" i="5"/>
  <c r="E95" i="1"/>
  <c r="E96" i="1"/>
  <c r="F96" i="1"/>
  <c r="F116" i="1"/>
  <c r="C176" i="1"/>
  <c r="C163" i="1"/>
  <c r="C175" i="1"/>
  <c r="C67" i="1"/>
  <c r="D67" i="1"/>
  <c r="D87" i="1"/>
  <c r="G89" i="1"/>
  <c r="B41" i="1"/>
  <c r="F450" i="4"/>
  <c r="E32" i="2"/>
  <c r="E35" i="2"/>
  <c r="F454" i="4"/>
  <c r="D44" i="2"/>
  <c r="AC94" i="5"/>
  <c r="AC95" i="5"/>
  <c r="AC111" i="5"/>
  <c r="D30" i="2"/>
  <c r="D33" i="2"/>
  <c r="C41" i="2"/>
  <c r="C43" i="2"/>
  <c r="J41" i="2"/>
  <c r="J43" i="2"/>
  <c r="J44" i="2"/>
  <c r="G41" i="2"/>
  <c r="G43" i="2"/>
  <c r="G44" i="2"/>
  <c r="J340" i="4"/>
  <c r="J359" i="4"/>
  <c r="C184" i="1"/>
  <c r="E184" i="1"/>
  <c r="E186" i="1"/>
  <c r="E189" i="1"/>
  <c r="E39" i="1"/>
  <c r="F39" i="1"/>
  <c r="G39" i="1"/>
  <c r="E127" i="4"/>
  <c r="E131" i="4"/>
  <c r="E30" i="2"/>
  <c r="E33" i="2"/>
  <c r="E137" i="4"/>
  <c r="F424" i="4"/>
  <c r="F432" i="4"/>
  <c r="C162" i="1"/>
  <c r="C169" i="1"/>
  <c r="E169" i="1"/>
  <c r="D41" i="2"/>
  <c r="D43" i="2"/>
  <c r="E26" i="1"/>
  <c r="E29" i="1"/>
  <c r="E103" i="1"/>
  <c r="E104" i="1"/>
  <c r="G178" i="4"/>
  <c r="K131" i="1"/>
  <c r="K155" i="1"/>
  <c r="B47" i="1"/>
  <c r="J323" i="4"/>
  <c r="J361" i="4"/>
  <c r="J362" i="4"/>
  <c r="G494" i="4"/>
  <c r="G502" i="4"/>
  <c r="G508" i="4"/>
  <c r="M68" i="5"/>
  <c r="M71" i="5"/>
  <c r="F444" i="4"/>
  <c r="E41" i="2"/>
  <c r="E43" i="2"/>
  <c r="D28" i="5"/>
  <c r="D33" i="5"/>
  <c r="M69" i="5"/>
  <c r="E63" i="5"/>
  <c r="D26" i="5"/>
  <c r="G166" i="4"/>
  <c r="G172" i="4"/>
  <c r="I508" i="4"/>
  <c r="I512" i="4"/>
  <c r="I524" i="4"/>
  <c r="J315" i="4"/>
  <c r="K94" i="5"/>
  <c r="K95" i="5"/>
  <c r="K111" i="5"/>
  <c r="C68" i="5"/>
  <c r="C71" i="5"/>
  <c r="B42" i="5"/>
  <c r="E278" i="4"/>
  <c r="E284" i="4"/>
  <c r="G411" i="4"/>
  <c r="G413" i="4"/>
  <c r="G417" i="4"/>
  <c r="L84" i="4"/>
  <c r="L88" i="4"/>
  <c r="L96" i="4"/>
  <c r="D26" i="1"/>
  <c r="D29" i="1"/>
  <c r="D33" i="1"/>
  <c r="C72" i="1"/>
  <c r="C60" i="1"/>
  <c r="F61" i="1"/>
  <c r="H61" i="4"/>
  <c r="L61" i="4"/>
  <c r="L81" i="4"/>
  <c r="C63" i="5"/>
  <c r="B26" i="5"/>
  <c r="B28" i="5"/>
  <c r="B33" i="5"/>
  <c r="C69" i="5"/>
  <c r="C61" i="5"/>
  <c r="C62" i="5"/>
  <c r="H285" i="4"/>
</calcChain>
</file>

<file path=xl/sharedStrings.xml><?xml version="1.0" encoding="utf-8"?>
<sst xmlns="http://schemas.openxmlformats.org/spreadsheetml/2006/main" count="1111" uniqueCount="767">
  <si>
    <t>L'article 22 de la loi de financement de la Sécurité Sociale de 2009 a institué :</t>
  </si>
  <si>
    <t xml:space="preserve"> - sur immobilisations :</t>
  </si>
  <si>
    <t>Rémunération nette perçue :</t>
  </si>
  <si>
    <t xml:space="preserve"> -csg déductible sur dividendes</t>
  </si>
  <si>
    <t>Votre bénéfice, tel qu'il ressort de la déclaration n°2035, est le suivant :</t>
  </si>
  <si>
    <t>non déductible</t>
  </si>
  <si>
    <t>dégagé ci-dessus est un résultat fiscal.</t>
  </si>
  <si>
    <t>Vos amortissements sont de</t>
  </si>
  <si>
    <t>Les autres correctifs à apporter sont de</t>
  </si>
  <si>
    <t>Détermination de votre Capacité d'Autofinancement</t>
  </si>
  <si>
    <t>Tableau de Trésorerie</t>
  </si>
  <si>
    <t xml:space="preserve">Emprunts souscrits </t>
  </si>
  <si>
    <t xml:space="preserve">Acquisitions d'immobilisations </t>
  </si>
  <si>
    <t>Remboursement des emprunts (part en capital)</t>
  </si>
  <si>
    <t>Si vous choisissez l'exercice de votre profession sous la forme de SEL, celle-ci relève de plein droit de l'Impôt sur les Sociétés.</t>
  </si>
  <si>
    <t>En pratique, le passage à une comptabilité d'engagement nécessite la mise en place d'outils de gestion, qui entraîne un accroissement de votre gestion administrative et comptable .</t>
  </si>
  <si>
    <t>De plus, la forme sociétaire impose des obligations juridiques : tenue d'assemblées, dépôt et publication des comptes…</t>
  </si>
  <si>
    <t>Cette disposition met fin à un conflit d'interprétation entre la Cour de Cassation (arrêt du 15 Mai 2008) et le Conseil d'Etat (arrêt du 14 Novembre 2007).</t>
  </si>
  <si>
    <t>dont csg/crds :</t>
  </si>
  <si>
    <t xml:space="preserve">En qualité de gérant majoritaire, vous êtes imposé à l'IR : </t>
  </si>
  <si>
    <t xml:space="preserve">  - sur votre rémunération nette en bénéficiant de l'abattement de 10% pour frais professionnels (Art. 62 CGI),</t>
  </si>
  <si>
    <t>(abattement 10% déduit)</t>
  </si>
  <si>
    <t>abattement sur dividendes</t>
  </si>
  <si>
    <t>csg déductible sur dividendes</t>
  </si>
  <si>
    <t>Depuis la loi de finances 2008, les dividendes peuvent être imposés selon un prélèvement forfaitaire fixe de 19% auquel s'ajoutent les prélèvements sociaux.</t>
  </si>
  <si>
    <t xml:space="preserve">Si cette option est retenue, l'impôt sur le revenu se détermine comme suit : </t>
  </si>
  <si>
    <t>Ici, l'option la plus favorable est  :</t>
  </si>
  <si>
    <t xml:space="preserve">Le résultat net de la SEL s'élève à </t>
  </si>
  <si>
    <t xml:space="preserve">Les amortissements sont de </t>
  </si>
  <si>
    <t>Détermination de la Capacité d'Autofinancement de la SEL</t>
  </si>
  <si>
    <t>La CAF s'élève donc à :</t>
  </si>
  <si>
    <t>TOTAL RESSOURCES</t>
  </si>
  <si>
    <t>TOTAL EMPLOIS</t>
  </si>
  <si>
    <t>Finalement, la comparaison de votre revenu disponible personnel en individuel ou en SEL est la suivante :</t>
  </si>
  <si>
    <t>REMBOURSEMENT  EMPRUNTS</t>
  </si>
  <si>
    <t>PRELEVEMENT OU REMUNERATION</t>
  </si>
  <si>
    <t xml:space="preserve">   - QU'EN EXERCICE INDIVIDUEL, le résultat dégagé est entièrement fiscalisé et soumis aux charges sociales,</t>
  </si>
  <si>
    <t xml:space="preserve">     quelles que soient les sommes effectivement prélevées par le professionnel.</t>
  </si>
  <si>
    <t xml:space="preserve">   - QUE LA SOCIETE s'est par contre constituée au titre de l'exercice des Réserves pour un montant de :</t>
  </si>
  <si>
    <t>En cas de non adhésion, le BNC est  majoré de 25%.</t>
  </si>
  <si>
    <t>Cette rémunération est imposable après déduction d'un abattement de 10% au titre des frais professionnels.</t>
  </si>
  <si>
    <t xml:space="preserve">  - sur les dividendes, avec une réfaction de 40% (sauf option pour le prélèvement libératoire).</t>
  </si>
  <si>
    <t>En exercice individuel, la prise en compte des créances et des dettes n'est qu'une option (Art. 93 A CGI).</t>
  </si>
  <si>
    <t>REVENU</t>
  </si>
  <si>
    <t>TOTAL</t>
  </si>
  <si>
    <t>SPECIALISTE</t>
  </si>
  <si>
    <t>COTISATIONS OBLIGATOIRES</t>
  </si>
  <si>
    <t>N-1</t>
  </si>
  <si>
    <t>N</t>
  </si>
  <si>
    <t>REVENU FISCAL</t>
  </si>
  <si>
    <t>COTISATIONS FACULTATIVES</t>
  </si>
  <si>
    <t>BASE COTISATIONS CSG</t>
  </si>
  <si>
    <t xml:space="preserve">  solde</t>
  </si>
  <si>
    <t>ECHEANCE TRIMESTRIELLE</t>
  </si>
  <si>
    <t>COTISATIONS D'ASSURANCE VIEILLESSE</t>
  </si>
  <si>
    <t>PROFESSION</t>
  </si>
  <si>
    <t>ARCHITECTE</t>
  </si>
  <si>
    <t>CIPAV</t>
  </si>
  <si>
    <t>AVOCAT</t>
  </si>
  <si>
    <t>KINE</t>
  </si>
  <si>
    <t>CNBF</t>
  </si>
  <si>
    <t>CARPIMKO</t>
  </si>
  <si>
    <t>DENTISTE</t>
  </si>
  <si>
    <t>EX COMP</t>
  </si>
  <si>
    <t>CAVEC</t>
  </si>
  <si>
    <t>CARMF</t>
  </si>
  <si>
    <t>SAGE FEMME</t>
  </si>
  <si>
    <t>CAVP</t>
  </si>
  <si>
    <t>REGIME DE BASE</t>
  </si>
  <si>
    <t>REGIME COMPLEMENTAIRE</t>
  </si>
  <si>
    <t>INVALIDITE DECES</t>
  </si>
  <si>
    <t>ALLOC DE REMPLACEMENT</t>
  </si>
  <si>
    <t xml:space="preserve">AUXILIAIRES </t>
  </si>
  <si>
    <t>MEDICAUX</t>
  </si>
  <si>
    <t>REVENU n-2</t>
  </si>
  <si>
    <t>COTISATION D'ASSURANCE MALADIE</t>
  </si>
  <si>
    <t>semestre 1</t>
  </si>
  <si>
    <t>t1</t>
  </si>
  <si>
    <t>COTISATION</t>
  </si>
  <si>
    <t>base</t>
  </si>
  <si>
    <t>semestre 2</t>
  </si>
  <si>
    <t>total</t>
  </si>
  <si>
    <t>à deduire</t>
  </si>
  <si>
    <t>TOTAL ANNUEL</t>
  </si>
  <si>
    <t>revenu</t>
  </si>
  <si>
    <t>revenu n-2</t>
  </si>
  <si>
    <t>revenu n-1</t>
  </si>
  <si>
    <t>sous total</t>
  </si>
  <si>
    <t>CALCUL IMPOT SUR LE REVENU</t>
  </si>
  <si>
    <t>NB PARTS</t>
  </si>
  <si>
    <t>0% jusqu'à</t>
  </si>
  <si>
    <t>et deduire</t>
  </si>
  <si>
    <t>IMPOT</t>
  </si>
  <si>
    <t>N-2</t>
  </si>
  <si>
    <t>COT PROV AF N</t>
  </si>
  <si>
    <t>T1 N</t>
  </si>
  <si>
    <t>T2 N</t>
  </si>
  <si>
    <t>T3 N</t>
  </si>
  <si>
    <t>T4 N</t>
  </si>
  <si>
    <t>COT PROV CSG/RDS N</t>
  </si>
  <si>
    <t>REGUL AF N-1</t>
  </si>
  <si>
    <t>REGUL CSG/RDS N-1</t>
  </si>
  <si>
    <t xml:space="preserve">contribution formation </t>
  </si>
  <si>
    <t xml:space="preserve">  cipav</t>
  </si>
  <si>
    <t xml:space="preserve">  cnbf</t>
  </si>
  <si>
    <t xml:space="preserve">  cavec</t>
  </si>
  <si>
    <t>ACTIVITE</t>
  </si>
  <si>
    <t>ASSMALADIE</t>
  </si>
  <si>
    <t>deductible</t>
  </si>
  <si>
    <t>non deduct</t>
  </si>
  <si>
    <t>à declarer en n+1</t>
  </si>
  <si>
    <t xml:space="preserve"> </t>
  </si>
  <si>
    <t>santé</t>
  </si>
  <si>
    <t>DIVIDENDES</t>
  </si>
  <si>
    <t>SOCIETE</t>
  </si>
  <si>
    <t>GERANT/ASSOCIE</t>
  </si>
  <si>
    <t>RESSOURCES</t>
  </si>
  <si>
    <t>CAF</t>
  </si>
  <si>
    <t>EMPLOIS</t>
  </si>
  <si>
    <t>INVESTISSEMENTS</t>
  </si>
  <si>
    <t>EN IND</t>
  </si>
  <si>
    <t>CODE</t>
  </si>
  <si>
    <t>plafond SS</t>
  </si>
  <si>
    <t>limite de 5 X
le plafond</t>
  </si>
  <si>
    <t>Année</t>
  </si>
  <si>
    <t>Allocations Familliales sauf Médecins du secteurs 1</t>
  </si>
  <si>
    <t>Cotisation</t>
  </si>
  <si>
    <t>Contribution aux unions pro. des médecins</t>
  </si>
  <si>
    <t>Plafond SS</t>
  </si>
  <si>
    <t>Classe :</t>
  </si>
  <si>
    <t>MEDECIN Sect I</t>
  </si>
  <si>
    <t>1 obligatoire</t>
  </si>
  <si>
    <t>Cotis. Régularisé N-1</t>
  </si>
  <si>
    <t>Déjà émis</t>
  </si>
  <si>
    <t>Régularisation N-1</t>
  </si>
  <si>
    <t>Appels N déjà émis</t>
  </si>
  <si>
    <t>Base de calcul :</t>
  </si>
  <si>
    <t>Cotisation principale :</t>
  </si>
  <si>
    <t>Cotisation de solidarité :</t>
  </si>
  <si>
    <t>10% du montant de la cotisation</t>
  </si>
  <si>
    <t>Montant cotisation annuelle :</t>
  </si>
  <si>
    <t>Montant par trimestre</t>
  </si>
  <si>
    <t>déductible</t>
  </si>
  <si>
    <t>Cotis. Provisionnelle N</t>
  </si>
  <si>
    <t>REVENU N-1</t>
  </si>
  <si>
    <t>Allocations Familliales Médecins généralistes du secteur 1</t>
  </si>
  <si>
    <t>Revenu Professionnel N-2</t>
  </si>
  <si>
    <t>0,10% de la base retenue</t>
  </si>
  <si>
    <t>EN SOC</t>
  </si>
  <si>
    <t>CHARGES SOCIALES</t>
  </si>
  <si>
    <t>base n-2</t>
  </si>
  <si>
    <t>base N-2</t>
  </si>
  <si>
    <t>revenu n-1*2,5%</t>
  </si>
  <si>
    <t>revenu n-1*,08</t>
  </si>
  <si>
    <t xml:space="preserve">  -cot n-1</t>
  </si>
  <si>
    <t xml:space="preserve">  cotisation proportionnelle</t>
  </si>
  <si>
    <t xml:space="preserve">  forfait/tranche</t>
  </si>
  <si>
    <t>CSG/CRDS</t>
  </si>
  <si>
    <t>CARD</t>
  </si>
  <si>
    <t>T1</t>
  </si>
  <si>
    <t>T2</t>
  </si>
  <si>
    <t>T3</t>
  </si>
  <si>
    <t>T4</t>
  </si>
  <si>
    <t xml:space="preserve">  -cot appelée</t>
  </si>
  <si>
    <t>URSSAF</t>
  </si>
  <si>
    <t>N-3</t>
  </si>
  <si>
    <t>REGULARISATION N-2</t>
  </si>
  <si>
    <t>N-4</t>
  </si>
  <si>
    <t>calculee sur 181 jours</t>
  </si>
  <si>
    <t>(base revenu n-2)</t>
  </si>
  <si>
    <t>(base revenu et cotis n-2)</t>
  </si>
  <si>
    <t xml:space="preserve">   s/revenu n-2 cot definitive</t>
  </si>
  <si>
    <t xml:space="preserve">                          regul</t>
  </si>
  <si>
    <t>5,50% jusqu'à</t>
  </si>
  <si>
    <t>14% jusqu'à</t>
  </si>
  <si>
    <t>30% jusqu'à</t>
  </si>
  <si>
    <t>CSG ND A REINTEGRER</t>
  </si>
  <si>
    <t>NET DISPONIBLE</t>
  </si>
  <si>
    <t xml:space="preserve">Cotisation d'assurance maladie des médecins </t>
  </si>
  <si>
    <t>Cotisation d'assurance maladie des médecins spécialistes :alignée sur celle des généralistes</t>
  </si>
  <si>
    <t>ass maladie des spécialistes : alignée sur celle des généralistes</t>
  </si>
  <si>
    <t>TAUX</t>
  </si>
  <si>
    <t>csg/rds</t>
  </si>
  <si>
    <t xml:space="preserve">Part &gt; au plafond </t>
  </si>
  <si>
    <t xml:space="preserve">limite plafond SS </t>
  </si>
  <si>
    <t>alloc med</t>
  </si>
  <si>
    <t>alloc med&gt;plaf</t>
  </si>
  <si>
    <t>union med</t>
  </si>
  <si>
    <t>contrib form</t>
  </si>
  <si>
    <t xml:space="preserve">                           revenu n-1*  </t>
  </si>
  <si>
    <t xml:space="preserve">      -cot n-2(base revenu n-3)*</t>
  </si>
  <si>
    <t xml:space="preserve">                             solde</t>
  </si>
  <si>
    <t xml:space="preserve">                           revenu n-1*</t>
  </si>
  <si>
    <t xml:space="preserve">                 -cot n-2(base n-3)*</t>
  </si>
  <si>
    <t>regime base retr</t>
  </si>
  <si>
    <t>regime base avocat</t>
  </si>
  <si>
    <t>taux avocat</t>
  </si>
  <si>
    <t>forfait avocat</t>
  </si>
  <si>
    <t>forfait carpimko</t>
  </si>
  <si>
    <t>&lt;25246</t>
  </si>
  <si>
    <t>forfait card</t>
  </si>
  <si>
    <t>&lt;0</t>
  </si>
  <si>
    <t xml:space="preserve">   s/revenu n-4 cot appelée</t>
  </si>
  <si>
    <t>inv deces</t>
  </si>
  <si>
    <t>ass maladie</t>
  </si>
  <si>
    <t>ass maladie med</t>
  </si>
  <si>
    <t>n-1</t>
  </si>
  <si>
    <t>BIOLOGISTE</t>
  </si>
  <si>
    <t>VETERINAIRE</t>
  </si>
  <si>
    <t>CARVP</t>
  </si>
  <si>
    <t>CARPV</t>
  </si>
  <si>
    <t>NOTAIRE</t>
  </si>
  <si>
    <t>CNR</t>
  </si>
  <si>
    <t>compl facultative</t>
  </si>
  <si>
    <t>complementaire</t>
  </si>
  <si>
    <t>CAVOM</t>
  </si>
  <si>
    <t>OFFICIER MINISTERIEL</t>
  </si>
  <si>
    <t xml:space="preserve">  cnr</t>
  </si>
  <si>
    <t xml:space="preserve">  cavom</t>
  </si>
  <si>
    <t>carpimko</t>
  </si>
  <si>
    <t>card</t>
  </si>
  <si>
    <t>carmf</t>
  </si>
  <si>
    <t>cavp</t>
  </si>
  <si>
    <t>carvp</t>
  </si>
  <si>
    <t>&lt;L29</t>
  </si>
  <si>
    <t>&gt;L29</t>
  </si>
  <si>
    <t xml:space="preserve">                 PLAFOND SS POUR 2008</t>
  </si>
  <si>
    <t>SOC PL</t>
  </si>
  <si>
    <t xml:space="preserve">                 PLAFOND SS POUR 2009</t>
  </si>
  <si>
    <t>alloc rempl</t>
  </si>
  <si>
    <t>Architecte</t>
  </si>
  <si>
    <t>Avocat</t>
  </si>
  <si>
    <t>Expert comptable- commissaire aux comptes</t>
  </si>
  <si>
    <t>Notaire</t>
  </si>
  <si>
    <t>Officier ministeriel</t>
  </si>
  <si>
    <t>Expert agricole</t>
  </si>
  <si>
    <t>Géomètre-expert</t>
  </si>
  <si>
    <t>Conseil en propriété industrielle</t>
  </si>
  <si>
    <t>Biologiste</t>
  </si>
  <si>
    <t>Chirurgien dentiste</t>
  </si>
  <si>
    <t>Vétérinaire</t>
  </si>
  <si>
    <t>Infirmier</t>
  </si>
  <si>
    <t>Sage femme</t>
  </si>
  <si>
    <t>Kinésitherapeute</t>
  </si>
  <si>
    <t>Orthoptiste</t>
  </si>
  <si>
    <t>Orthophoniste</t>
  </si>
  <si>
    <t>OUTIL DE SIMULATION STATUT INDIVIDUEL/ SEL : NOTE LIMINAIRE</t>
  </si>
  <si>
    <t>Pour adapter la simulation à chaque cas, il y a lieu tout d’abord d’indiquer la profession libérale exercée. Les professions retenues sont celles pouvant être exercées sous la forme de SEL.</t>
  </si>
  <si>
    <t>L’équipe ayant participé à l’élaboration de cet outil :</t>
  </si>
  <si>
    <t>Philippe Gandon</t>
  </si>
  <si>
    <t>René Keravel</t>
  </si>
  <si>
    <t>Philippe Szafir</t>
  </si>
  <si>
    <t xml:space="preserve">                 PLAFOND SS POUR 2010</t>
  </si>
  <si>
    <t>CARCDSF</t>
  </si>
  <si>
    <t>INDEMNITES JL</t>
  </si>
  <si>
    <t>PCV/ASV</t>
  </si>
  <si>
    <t>classe 2</t>
  </si>
  <si>
    <t>aux medicaux</t>
  </si>
  <si>
    <t>indem jl</t>
  </si>
  <si>
    <t>ASV</t>
  </si>
  <si>
    <t>forfait (+de 5 ans d'activite)</t>
  </si>
  <si>
    <t>&lt;36000</t>
  </si>
  <si>
    <t>&lt;46000</t>
  </si>
  <si>
    <t>&lt;59000</t>
  </si>
  <si>
    <t>&lt;67000</t>
  </si>
  <si>
    <t>&lt;76000</t>
  </si>
  <si>
    <t>&gt;76000</t>
  </si>
  <si>
    <t>dont csg/crds</t>
  </si>
  <si>
    <t xml:space="preserve">                 PLAFOND SS POUR 2011</t>
  </si>
  <si>
    <t>&lt;35352*5</t>
  </si>
  <si>
    <t>&lt;60390</t>
  </si>
  <si>
    <t>&lt;80520</t>
  </si>
  <si>
    <t>&gt;80520</t>
  </si>
  <si>
    <t>classe 1</t>
  </si>
  <si>
    <t>&lt;41050</t>
  </si>
  <si>
    <t>&lt;48990</t>
  </si>
  <si>
    <t>&lt;57500</t>
  </si>
  <si>
    <t>&lt;66000</t>
  </si>
  <si>
    <t>&lt;82560</t>
  </si>
  <si>
    <t>&gt;82560</t>
  </si>
  <si>
    <t>&gt;5 ans</t>
  </si>
  <si>
    <t>&lt;39000</t>
  </si>
  <si>
    <t>&lt;156000</t>
  </si>
  <si>
    <t>PCV/ASV  PROPORTIONNELLE</t>
  </si>
  <si>
    <t>ASV prop</t>
  </si>
  <si>
    <t>&lt;15720</t>
  </si>
  <si>
    <t>&lt;31440</t>
  </si>
  <si>
    <t>&lt;43470</t>
  </si>
  <si>
    <t>&lt;62740</t>
  </si>
  <si>
    <t>&lt;76800</t>
  </si>
  <si>
    <t>&lt;91160</t>
  </si>
  <si>
    <t>&lt;129020</t>
  </si>
  <si>
    <t>&gt;129020</t>
  </si>
  <si>
    <t>&lt;135246</t>
  </si>
  <si>
    <t>&lt;123732</t>
  </si>
  <si>
    <t>ADR</t>
  </si>
  <si>
    <t>inv deces  cl2</t>
  </si>
  <si>
    <t>alloc familiales</t>
  </si>
  <si>
    <t>41% audessus</t>
  </si>
  <si>
    <t>BAREME 2010</t>
  </si>
  <si>
    <t>cnbf</t>
  </si>
  <si>
    <t>caecdsf</t>
  </si>
  <si>
    <t>ASV  S2</t>
  </si>
  <si>
    <t>Médecin spécialiste secteur 2</t>
  </si>
  <si>
    <t xml:space="preserve">  (base revenu +DIVIDENDES IMPOSABLES</t>
  </si>
  <si>
    <t>CONTRIBUTION FORMATION</t>
  </si>
  <si>
    <t>COT PROV AF</t>
  </si>
  <si>
    <t>COT CSG/CRDS</t>
  </si>
  <si>
    <t>COT ALLOC FAM</t>
  </si>
  <si>
    <t>plafond ss</t>
  </si>
  <si>
    <t>base revenu+dividendes</t>
  </si>
  <si>
    <t>limite plafond</t>
  </si>
  <si>
    <t>&gt;plafond</t>
  </si>
  <si>
    <t>COTCSG/CRDS</t>
  </si>
  <si>
    <t>remuneration</t>
  </si>
  <si>
    <t>Cotisation ASS MALADIE des MEDECINS</t>
  </si>
  <si>
    <t>Cas General</t>
  </si>
  <si>
    <t>REMUNERATION</t>
  </si>
  <si>
    <t>CODE PROFESSION</t>
  </si>
  <si>
    <t xml:space="preserve">EN CONCLUSION , il y a lieu de rappeler : </t>
  </si>
  <si>
    <t>Recettes encaissées y compris les remboursements de frais . . . . . . . . . . . . . . . . . . . . . . . . . . . . . . . . . . . . . . . . . . . . . . . . . .</t>
  </si>
  <si>
    <t>AA</t>
  </si>
  <si>
    <t>RECETTES</t>
  </si>
  <si>
    <t>A déduire</t>
  </si>
  <si>
    <t>Débours payés pour le compte des clients . . . . . . . . . . . . . . . . . . . . . . . . . . . . . . . . . . . . . . . . . . . . . . . . . . . . . . . .</t>
  </si>
  <si>
    <t>AB</t>
  </si>
  <si>
    <t>Honoraires rétrocédés . . . . . . . . . . . . . . . . . . . . . . . . . . . . . . . . . . . . . . . . . . . . . . . . . . . . . . . . . . . . . . . . . . .</t>
  </si>
  <si>
    <t>AC</t>
  </si>
  <si>
    <t xml:space="preserve">Montant net des recettes . . . . . . . . . . . . . . . . . . . . . . . . . . . . . . . . . . . . . . . . . . . . . . . . . . . . . . . . . . . . . . . . . . . . . . . . . . . . . . . . . . . . . . . . . . . . . . . . . . . . . . . . . . . . . . . . . . </t>
  </si>
  <si>
    <t>AD</t>
  </si>
  <si>
    <t xml:space="preserve">Produits financiers . . . . . . . . . . . . . . . . . . . . . . . . . . . . . . . . . . . . . . . . . . . . . . . . . . . . . . . . . . . . . . . . . . . . . . . . . . . . . . . . . . . . . . . . . . . . . . . . . . . . . . . . . . . . . . . . . . . . . </t>
  </si>
  <si>
    <t xml:space="preserve">. . . . . . . . . . . . . . . . . . . . . . . . </t>
  </si>
  <si>
    <t>AE</t>
  </si>
  <si>
    <t>Gains divers . . . . . . . . . . . . . . . . . . . . . . . . . . . . . . . . . . . . . . . . . . . . . . . . . . . . . . . . . . . . . . . . . . . . . . . . . . . . . . . . . . . . . . . . . . . . . . . . . . . . . . . . . . . . . . . . . . . . . . . . .</t>
  </si>
  <si>
    <t>AF</t>
  </si>
  <si>
    <t xml:space="preserve">TOTAL (lignes 4 à 6) . . . . . . . . . . . . . . . . . . . . . . . . . . . . . . . . . . . . . . . . . . . . . . . . . . . . . </t>
  </si>
  <si>
    <t>AG</t>
  </si>
  <si>
    <t xml:space="preserve">Achats . . . . . . . . . . . . . . . . . . . . . . . . . . . . . . . . . . . . . . . . . . . . . . . . . . . . . . . . . . . . . . . . . . . . . . . . . . . . . . . . . . . . . . . . . . . . . . . . . . . . . . . . . . . . . . . . . . . . . </t>
  </si>
  <si>
    <t>BA</t>
  </si>
  <si>
    <t>DEPENSES   PROFESSIONNELLES</t>
  </si>
  <si>
    <t>Frais de personnel</t>
  </si>
  <si>
    <t xml:space="preserve">Salaires nets et avantages en nature . . . . . . . . . . . . . . . . . . . . . . . . . . . . . . . . . . . . . . . . . . . . . . . . . . . . . . . . . . . . . . . . . . . . </t>
  </si>
  <si>
    <t>BB</t>
  </si>
  <si>
    <t xml:space="preserve">Charges sociales sur salaires (parts patr et ouvrière) . . . . . . . . . . . . . . . . . . . . . . . . . . . . . . . . . . . . . . . . . . . . . . . . . . . . . . . . . . </t>
  </si>
  <si>
    <t>BC</t>
  </si>
  <si>
    <t>Impôts et taxes</t>
  </si>
  <si>
    <t>Taxe sur la valeur ajoutée . . . . . . . . . . . . . . . . . . . . . . . . . . . . . . . . . . . . . . . . . . . . . . . . . . . . . . . . . . . . . . . . . . . .</t>
  </si>
  <si>
    <t>BD</t>
  </si>
  <si>
    <t xml:space="preserve">Taxe professionnelle ou CET . . . . . . . . . . . . . . . . . . . . . . . . . . . . . . . . . . . . . . . . . . . . . . . . . . . . . . . . . . . . . . . . . . . . . . </t>
  </si>
  <si>
    <t>BE</t>
  </si>
  <si>
    <t xml:space="preserve">Autres impôts . . . . . . . . . . . . . . . . . . . . . . . . . . . . . . . . . . . . . . . . . . . . . . . . . . . . . . . . . . . . . . . . . . . . . . . . . . . . . . . . . </t>
  </si>
  <si>
    <t>BS</t>
  </si>
  <si>
    <t xml:space="preserve">Contribution sociale généralisée déductible . . . . . . . . . . . . . . . . . . . . . . . . . . . . . . . . . . . . . . . . . . . . . . . . . . . . </t>
  </si>
  <si>
    <t>BV</t>
  </si>
  <si>
    <t>Loyer et charges locatives . . . . . . . . . . . . . . . . . . . . . . . . . . . . . . . . . . . . . . . . . . . . . . . . . . . . . . . . . . . . . . . . . . . . . . . . . . . . . . . . . . . . . . . . . . . . . . . . . . . . . . . . . . . . . . .</t>
  </si>
  <si>
    <t>BF</t>
  </si>
  <si>
    <t xml:space="preserve">Location de matériel et mobilier . . . . . . . . . . . . . . . . . . . . . . . . . . . . . . . . . . . . . . . . . . . . . . . . . . . . . . . . . . . . . . . . . . . . . . . . . . . . . . . . . . . . . . . . . . . . . . . . . . . . . . . . . . </t>
  </si>
  <si>
    <t>BG</t>
  </si>
  <si>
    <t>BH</t>
  </si>
  <si>
    <t>BJ</t>
  </si>
  <si>
    <t>BK</t>
  </si>
  <si>
    <t>Charges sociales personnelles . . . . . . . . . . . . . . . . . . . . . . . . . . . . . . . . . . . . . . . . . . . . . . . . . . . . . . . . . . . . . . . . . . . . . . . . . . . . . . . . . . . . . . . . . . . . . . . . . . . . . . . . . . . . . . .</t>
  </si>
  <si>
    <t xml:space="preserve">Frais de réception, de représentation et de congrès  . . . . . . . . . . . . . . . . . . . . . . . . . . . . . . . . </t>
  </si>
  <si>
    <t>BM</t>
  </si>
  <si>
    <t>BN</t>
  </si>
  <si>
    <t xml:space="preserve">Autres frais divers de gestion . . . . . . . . . . . . . . . . . . . . . . . . . . . . . . . . . . . . . . . . . . . . . . . . . . . . . . </t>
  </si>
  <si>
    <t xml:space="preserve">Frais financiers . . . . . . . . . . . . . . . . . . . . . . . . . . . . . . . . . . . . . . . . . . . . . . . . . . . . . . . . . . . . . . . . . . . . . . . . . . . . . . . . . . . . . . . . . . . . . . . . . . . . . . . . . . . . . . . . . . . . </t>
  </si>
  <si>
    <t xml:space="preserve">Pertes diverses . . . . . . . . . . . . . . . . . . . . . . . . . . . . . . . . . . . . . . . . . . . . . . . . . . . . . . . . . . . . . . . . . . . . . . . . . . . . . . . . . . . . . . . . . . . . . . . . . . . . . . . . . . . . . . . . . . . </t>
  </si>
  <si>
    <t>BP</t>
  </si>
  <si>
    <t xml:space="preserve">TOTAL (lignes 8 à 32) . . . . . . . . . . . . . . . . . . . . . . . . . . . . . . . . . . . . . . . . . . . . . . . . . . . . </t>
  </si>
  <si>
    <t>BR</t>
  </si>
  <si>
    <t xml:space="preserve">Excédent (ligne 7 - ligne 33) . . . . . . . . . . . . . . . . . . . . . . . . . . . . . . . . . . . . . . . . . . . . . . . . </t>
  </si>
  <si>
    <t>CA</t>
  </si>
  <si>
    <t>DETERMINATION RESULTAT</t>
  </si>
  <si>
    <t>CB</t>
  </si>
  <si>
    <t>Divers à réintégrer . . . . . . . . . . . . . . . . . . . . . . . . . . . . . . . . . . . . . . . . . . . . . . . . . . . . . . . . . . . . . . . . . . . . . . . . . . . . . . . . . . . . . . . . . . . . . . . . . . . . . . . . . . . . . . . . . . . . .</t>
  </si>
  <si>
    <t>CC</t>
  </si>
  <si>
    <t xml:space="preserve">Bénéfice Sté civile de moyens . . . . . . . . . . . . . . . . . . . . . . . . . . . . . . . . . . . . . . . . . . . . . . . . . . . . . . . . . . . . . . . . . . . . . . . . . . . . . . . . . . . . . . . . . . . . . . . . . . . . . . . . . . . . </t>
  </si>
  <si>
    <t>CD</t>
  </si>
  <si>
    <t>TOTAL (lignes 34 à 37) . . . . . . . . . . . . . . . . . . . . . . . . . . . . . . . . . . . . . . . . . . . . . . . . . . . . . . .</t>
  </si>
  <si>
    <t>CE</t>
  </si>
  <si>
    <t xml:space="preserve">Insuffisance (ligne 33 - ligne7) . . . . . . . . . . . . . . . . . . . . . . . . . . . . . . . . . . . . . . . . . . . . . . . . . . . . . . . . . . . . . . . . . . . . . . . . . . . . . . . . . . . . . . . . . . . . . . . . . . . . . . . </t>
  </si>
  <si>
    <t>CF</t>
  </si>
  <si>
    <t>Frais d'établissement . . . . . . . . . . . . . . . . . . . . . . . . . . . . . . . . . . . . . . . . . . . . . . . . . . . . . . . . . . . . . . . . . . . . . . . . . . . . . . . . . . . . . . . . . . . . . . . . . . . . . . . . . . . . . . . . . . .</t>
  </si>
  <si>
    <t>CG</t>
  </si>
  <si>
    <t>Dotation aux amortissements . . . . . . . . . . . . . . . . . . . . . . . . . . . . . . . . . . . . . . . . . . . . . . . . . . . . . . . . . . . . . . . . . . . . . . . . . . . . . . . . . . . . . . . . . . . . . . . . . . . . . . . . . . . .</t>
  </si>
  <si>
    <t>CH</t>
  </si>
  <si>
    <t xml:space="preserve">Moins-values à court terme . . . . . . . . . . . . . . . . . . . . . . . . . . . . . . . . . . . . . . . . . . . . . . . . . . . . . . . . . . . . . . . . . . . . . . . . . . . . . . . . . . . . . . . . . . . . . . . . . . . . . . . . . . . . . . </t>
  </si>
  <si>
    <t>CK</t>
  </si>
  <si>
    <t>Divers à déduire . . . . . . . . . . . . . . . . . . . . . . . . . . . . . . . . . . . . . . . . . . . . . . . . . . . . . . . . . . . . . . . . . . . . . . . . . . . . . . . . . . . . . . . . . . . . . . . . . . . . . . . . . . . . . .</t>
  </si>
  <si>
    <t>CL</t>
  </si>
  <si>
    <t>Déficit Sté civile de moyens . . . . . . . . . . . . . . . . . . . . . . . . . . . . . . . . . . . . . . . . . . . . . . . . . . . . . . . . . . . . . . . . . . . . . . . . . . . . . . . . . . . . . . . . . . . . . . . . . . . . . . . . . . . . . .</t>
  </si>
  <si>
    <t>CM</t>
  </si>
  <si>
    <t xml:space="preserve">TOTAL (ligne 39 à 44) . . . . . . . . . . . . . . . . . . . . . . . . . . . . . . . . . . . . . . . . . . . . . . . . . . . . . . . . . . . </t>
  </si>
  <si>
    <t>CN</t>
  </si>
  <si>
    <t xml:space="preserve">Bénéfice (ligne38 - ligne 45) . . . . . . . . . . . . . . . . . . . . . . . . . . . . . . . . . . . . . . . . . . . . . . . . . . . . . . . . . . . . . . . . . . . . . . . . . </t>
  </si>
  <si>
    <t>CP</t>
  </si>
  <si>
    <t>Déficit (ligne 45 - ligne 38) . . . . . . . . . . . . . . . . . . . . . . . . . . . . . . . . . . . . . . . . . . . . . . . . . . . . . . . . . . . . . . . . . . . . . . . . . . . .</t>
  </si>
  <si>
    <t>CR</t>
  </si>
  <si>
    <t xml:space="preserve">N° 10167 * 05   </t>
  </si>
  <si>
    <t>Désignation de l'entreprise :</t>
  </si>
  <si>
    <t>Exercice N</t>
  </si>
  <si>
    <t>France</t>
  </si>
  <si>
    <t>Exportations et livraisons intracommunautaires</t>
  </si>
  <si>
    <t>Total</t>
  </si>
  <si>
    <t>PRODUITS D'EXPLOITATION</t>
  </si>
  <si>
    <t>Ventes de marchandises*</t>
  </si>
  <si>
    <t>FA</t>
  </si>
  <si>
    <t>FB</t>
  </si>
  <si>
    <t>FC</t>
  </si>
  <si>
    <t>FD</t>
  </si>
  <si>
    <t>FE</t>
  </si>
  <si>
    <t>FF</t>
  </si>
  <si>
    <t>FG</t>
  </si>
  <si>
    <t>FH</t>
  </si>
  <si>
    <t>FI</t>
  </si>
  <si>
    <t>Chiffre d'affaires nets*</t>
  </si>
  <si>
    <t>FJ</t>
  </si>
  <si>
    <t>FK</t>
  </si>
  <si>
    <t>FL</t>
  </si>
  <si>
    <t>Production stockée*</t>
  </si>
  <si>
    <t>FM</t>
  </si>
  <si>
    <t>Production immobilisée*</t>
  </si>
  <si>
    <t>FN</t>
  </si>
  <si>
    <t>Subvention d'exploitation</t>
  </si>
  <si>
    <t>FO</t>
  </si>
  <si>
    <t>Reprises sur amortissements et provisions, transfert de charges* (9)</t>
  </si>
  <si>
    <t>FP</t>
  </si>
  <si>
    <t>Autres produits (1) (11)</t>
  </si>
  <si>
    <t>FQ</t>
  </si>
  <si>
    <t>Total des produits d'exploitation (2) (I)</t>
  </si>
  <si>
    <t>FR</t>
  </si>
  <si>
    <t>CHARGES D'EXPLOITATION</t>
  </si>
  <si>
    <t>FS</t>
  </si>
  <si>
    <t>Variation de stock (marchandises)*</t>
  </si>
  <si>
    <t>FT</t>
  </si>
  <si>
    <t>FU</t>
  </si>
  <si>
    <t>Variation de stock (matières premières et approvisionnements)*</t>
  </si>
  <si>
    <t>FV</t>
  </si>
  <si>
    <t>Autres achats et charges externes (3) (6bis)*</t>
  </si>
  <si>
    <t>FW</t>
  </si>
  <si>
    <t>Impôts, taxes, versements assimilés*</t>
  </si>
  <si>
    <t>FX</t>
  </si>
  <si>
    <t>Salaires et traitements*</t>
  </si>
  <si>
    <t>FY</t>
  </si>
  <si>
    <t>Charges sociales (10)</t>
  </si>
  <si>
    <t>FZ</t>
  </si>
  <si>
    <t>DOTATIONS D'EXPLOITATION</t>
  </si>
  <si>
    <t>- dotations aux amortissements*</t>
  </si>
  <si>
    <t>GA</t>
  </si>
  <si>
    <t>- dotations aux provisions *</t>
  </si>
  <si>
    <t>GB</t>
  </si>
  <si>
    <t xml:space="preserve"> - sur actif circulant : dotations aux provisions</t>
  </si>
  <si>
    <t>GC</t>
  </si>
  <si>
    <t xml:space="preserve"> - Pour risques et charges : dotations aux provisions</t>
  </si>
  <si>
    <t>GD</t>
  </si>
  <si>
    <t>Autres charges (12)</t>
  </si>
  <si>
    <t>GE</t>
  </si>
  <si>
    <t>Total des charges d'exploitation (4) (II)</t>
  </si>
  <si>
    <t>GF</t>
  </si>
  <si>
    <t xml:space="preserve">       1 - RÉSULTAT D'EXPLOITATION (I - II)</t>
  </si>
  <si>
    <t>GG</t>
  </si>
  <si>
    <t>Bénéfice attribué ou perte transférée*                                                                        (III)</t>
  </si>
  <si>
    <t>GH</t>
  </si>
  <si>
    <t>GI</t>
  </si>
  <si>
    <t>PRODUITS FINANCIERS</t>
  </si>
  <si>
    <t>Produits financiers de participations (5)</t>
  </si>
  <si>
    <t>GJ</t>
  </si>
  <si>
    <t>Produits des autres valeurs mobilières et créances de l'actif immobilisé</t>
  </si>
  <si>
    <t>GK</t>
  </si>
  <si>
    <t>Autres intérêts et produits assimilés (5)</t>
  </si>
  <si>
    <t>GL</t>
  </si>
  <si>
    <t>Reprises sur provisions et transfert de charges</t>
  </si>
  <si>
    <t>GM</t>
  </si>
  <si>
    <t>Différences positives de change</t>
  </si>
  <si>
    <t>GN</t>
  </si>
  <si>
    <t>Produits nets sur cessions de valeurs mobilières de placement</t>
  </si>
  <si>
    <t>GO</t>
  </si>
  <si>
    <t>Total des produits financiers (V)</t>
  </si>
  <si>
    <t>GP</t>
  </si>
  <si>
    <t>CHARGES FINANCIERES</t>
  </si>
  <si>
    <t>Dotations financières aux amortissements et provisions*</t>
  </si>
  <si>
    <t>GQ</t>
  </si>
  <si>
    <t>Intérêts et charges assimilées (6)</t>
  </si>
  <si>
    <t>GR</t>
  </si>
  <si>
    <t>Différence négative de change</t>
  </si>
  <si>
    <t>GS</t>
  </si>
  <si>
    <t>Charges nettes sur cession de valeurs mobilières de placement</t>
  </si>
  <si>
    <t>GT</t>
  </si>
  <si>
    <t>Total des charges financières (VI)</t>
  </si>
  <si>
    <t>GU</t>
  </si>
  <si>
    <t xml:space="preserve"> 2 - RÉSULTAT FINANCIER (V - VI)</t>
  </si>
  <si>
    <t>GV</t>
  </si>
  <si>
    <t xml:space="preserve"> 3 - RÉSULTAT COURANT AVANT IMPÔTS (I-II+III-IV +V - VI)</t>
  </si>
  <si>
    <t>GW</t>
  </si>
  <si>
    <t>* Des explications concernant cette rubrique sont données dans la notice n° 2032</t>
  </si>
  <si>
    <t xml:space="preserve">           N° 10947 * 03</t>
  </si>
  <si>
    <t>Produits exceptionnels sur opérations de gestion</t>
  </si>
  <si>
    <t>HA</t>
  </si>
  <si>
    <t>Produits exceptionnels sur opérations en capital*</t>
  </si>
  <si>
    <t>HB</t>
  </si>
  <si>
    <t>HC</t>
  </si>
  <si>
    <t>Total des produits exceptionnels (7)        (VII)</t>
  </si>
  <si>
    <t>HD</t>
  </si>
  <si>
    <t>Charges exceptionnelles sur opérations de gestion (6bis)</t>
  </si>
  <si>
    <t>HE</t>
  </si>
  <si>
    <t>Charges exceptionnelles sur opérations en capital*</t>
  </si>
  <si>
    <t>HF</t>
  </si>
  <si>
    <t>Dotations exceptionnelles aux amortissements et provisions</t>
  </si>
  <si>
    <t>HG</t>
  </si>
  <si>
    <t>Total des charges exceptionnelles (7)       (VIII)</t>
  </si>
  <si>
    <t>HH</t>
  </si>
  <si>
    <t xml:space="preserve"> 4  -  RÉSULTAT EXCEPTIONNEL (VII - VIII)</t>
  </si>
  <si>
    <t>HI</t>
  </si>
  <si>
    <t xml:space="preserve">  Participation des salariés aux résultats de l'entreprise                                                            (IX)</t>
  </si>
  <si>
    <t>HJ</t>
  </si>
  <si>
    <t xml:space="preserve">  Impôts sur les bénéfices*                                                                                                        (X)</t>
  </si>
  <si>
    <t>HK</t>
  </si>
  <si>
    <t xml:space="preserve">                                                                         TOTAL DES PRODUITS (I+III+V+VII)</t>
  </si>
  <si>
    <t>HL</t>
  </si>
  <si>
    <t xml:space="preserve">                                                                         TOTAL DES CHARGES (II+IV+VI+VIII+IX+X)</t>
  </si>
  <si>
    <t>HM</t>
  </si>
  <si>
    <t>5 - BÉNÉFICE OU PERTE (Total des produits - total des charges)</t>
  </si>
  <si>
    <t>HN</t>
  </si>
  <si>
    <t>RENVOIS</t>
  </si>
  <si>
    <t>(1)</t>
  </si>
  <si>
    <t>Dont produits nets partiels sur opérations à long terme</t>
  </si>
  <si>
    <t>HO</t>
  </si>
  <si>
    <t>(2)</t>
  </si>
  <si>
    <t>produits de locations immobilières</t>
  </si>
  <si>
    <t>HY</t>
  </si>
  <si>
    <t>1G</t>
  </si>
  <si>
    <t>(3)</t>
  </si>
  <si>
    <t>- crédit-bail mobilier *</t>
  </si>
  <si>
    <t>HP</t>
  </si>
  <si>
    <t>- crédit-bail immobilier</t>
  </si>
  <si>
    <t>HQ</t>
  </si>
  <si>
    <t>(4)</t>
  </si>
  <si>
    <t>Dont charges d'exploitation afférentes à des exercices antérieurs (8)</t>
  </si>
  <si>
    <t>1H</t>
  </si>
  <si>
    <t>(5)</t>
  </si>
  <si>
    <t>1J</t>
  </si>
  <si>
    <t>(6)</t>
  </si>
  <si>
    <t>Dont intérêts concernant les entreprises liées</t>
  </si>
  <si>
    <t>IK</t>
  </si>
  <si>
    <t>(6bis)</t>
  </si>
  <si>
    <t>Dont dons faits à des organismes d'intérêt général (art. 238 bis du C.G.I.)</t>
  </si>
  <si>
    <t>HX</t>
  </si>
  <si>
    <t>(9)</t>
  </si>
  <si>
    <t>Dont transferts de charges</t>
  </si>
  <si>
    <t>A1</t>
  </si>
  <si>
    <t>(10)</t>
  </si>
  <si>
    <t>Dont cotisations personnelles de l'exploitant (13)</t>
  </si>
  <si>
    <t>A2</t>
  </si>
  <si>
    <t>(11)</t>
  </si>
  <si>
    <t>Dont redevances pour concessions de brevets, de licences (produits)</t>
  </si>
  <si>
    <t>A3</t>
  </si>
  <si>
    <t>(12)</t>
  </si>
  <si>
    <t>Dont redevances pour concessions de brevets, de licences (charges)</t>
  </si>
  <si>
    <t>A4</t>
  </si>
  <si>
    <t>(13)</t>
  </si>
  <si>
    <t>Dont primes et cotisations complémentaires personnelles : facultatives</t>
  </si>
  <si>
    <t>A6</t>
  </si>
  <si>
    <t>Obligatoires</t>
  </si>
  <si>
    <t>A9</t>
  </si>
  <si>
    <t>(7)</t>
  </si>
  <si>
    <t>Charges exceptionnelles</t>
  </si>
  <si>
    <t>(8)</t>
  </si>
  <si>
    <t>Détail des produits et charges sur exercices antérieurs :</t>
  </si>
  <si>
    <t>Charges antérieures</t>
  </si>
  <si>
    <t>dont obligatoires</t>
  </si>
  <si>
    <t>facultatives</t>
  </si>
  <si>
    <t>autres</t>
  </si>
  <si>
    <t>LIMITE REM ABATT 10% FRAIS PROF</t>
  </si>
  <si>
    <t>BASE COTISATIONS SOCIALES</t>
  </si>
  <si>
    <t>DIVIDENDES QUOTE PART IMPOSABLE</t>
  </si>
  <si>
    <t>Les dotations aux provisions sont de</t>
  </si>
  <si>
    <t>cotisation</t>
  </si>
  <si>
    <t>limite 5*plafond</t>
  </si>
  <si>
    <t>Cotisation de solidarité</t>
  </si>
  <si>
    <t>base calcul</t>
  </si>
  <si>
    <t xml:space="preserve">   deductible</t>
  </si>
  <si>
    <t xml:space="preserve">  non deductible</t>
  </si>
  <si>
    <t>non deduc</t>
  </si>
  <si>
    <t>avec distribution de reserves</t>
  </si>
  <si>
    <t>SOC</t>
  </si>
  <si>
    <t xml:space="preserve">SOC </t>
  </si>
  <si>
    <t>IR+PL</t>
  </si>
  <si>
    <t>IR</t>
  </si>
  <si>
    <t>retenu</t>
  </si>
  <si>
    <t>ASV S2</t>
  </si>
  <si>
    <t>inv deces classeA</t>
  </si>
  <si>
    <t>Médecin secteur1</t>
  </si>
  <si>
    <t>Pédicure  Podologue</t>
  </si>
  <si>
    <t>- Allocations familiales</t>
  </si>
  <si>
    <t>- Assurance maladie</t>
  </si>
  <si>
    <t>Ce bénéfice correspond à une période de croisière et est donc considéré comme constant d'une année sur l'autre.</t>
  </si>
  <si>
    <t>BNC</t>
  </si>
  <si>
    <t xml:space="preserve">(montants nets imposables de tous les autres revenus du foyer fiscal) </t>
  </si>
  <si>
    <t>Autres revenus</t>
  </si>
  <si>
    <t>Le BNC de</t>
  </si>
  <si>
    <t>Elles se décomposent comme suit :</t>
  </si>
  <si>
    <t>EXERCICE INDIVIDUEL : VOTRE DECLARATION N°2035</t>
  </si>
  <si>
    <t>EXERCICE INDIVIDUEL : VOS COTISATIONS SOCIALES OBLIGATOIRES</t>
  </si>
  <si>
    <t>EXERCICE INDIVIDUEL : VOTRE IMPOT SUR LE REVENU</t>
  </si>
  <si>
    <t xml:space="preserve">L'hypothèse retenue est celle d'un professionnel adhérent d'une association agréée. </t>
  </si>
  <si>
    <t>La base d'imposition à l'IR est donc la suivante :</t>
  </si>
  <si>
    <t>EXERCICE INDIVIDUEL : RECAPITULATIF DE VOS PRELEVEMENTS OBLIGATOIRES</t>
  </si>
  <si>
    <t>COTISATIONS SOCIALES  (hors csg-crds)</t>
  </si>
  <si>
    <t>Vos prélèvements obligatoires sont  les suivants :</t>
  </si>
  <si>
    <t>Pour un revenu imposable de :</t>
  </si>
  <si>
    <t xml:space="preserve">Soit un taux de prélèvements obligatoires de : </t>
  </si>
  <si>
    <t>EXERCICE INDIVIDUEL : VOTRE EQUILIBRE FINANCIER</t>
  </si>
  <si>
    <t>Votre revenu professionnel est de</t>
  </si>
  <si>
    <t>+</t>
  </si>
  <si>
    <t>+/-</t>
  </si>
  <si>
    <t>=</t>
  </si>
  <si>
    <t>Votre CAF s'élève à :</t>
  </si>
  <si>
    <t>La CAF s'élève à :</t>
  </si>
  <si>
    <t>-</t>
  </si>
  <si>
    <t>Prélèvements personnels nets des apports</t>
  </si>
  <si>
    <t>PREMIERE PARTIE : CHOIX D'UN EXERCICE INDIVIDUEL</t>
  </si>
  <si>
    <t>Vos cotisations sociales personnelles prises en charge par la société sont  les suivantes :</t>
  </si>
  <si>
    <t>Par rapport à la situation antérieure, la taxation à l'IS emporte les conséquences suivantes :</t>
  </si>
  <si>
    <t xml:space="preserve">Par simplification, il n'a pas été tenu compte de ces décalages pour les présentes simulations. </t>
  </si>
  <si>
    <t>A l'IS, c'est une obligation du fait d'une comptabilité d'engagement.</t>
  </si>
  <si>
    <t>Il en découle un surcoût administratif pouvant être estimé, en fonction de la structure que vous envisagez de créer, à :</t>
  </si>
  <si>
    <t>DEUXIEME PARTIE : CHOIX D'UN EXERCICE EN SEL</t>
  </si>
  <si>
    <t>3) Prise en compte des dividendes</t>
  </si>
  <si>
    <t xml:space="preserve">4) Hypothèses de Rémunération et de Dividendes </t>
  </si>
  <si>
    <t>CONSEQUENCES DU PASSAGE EN SOCIETE D'EXERCICE LIBERALE</t>
  </si>
  <si>
    <t>EXERCICE EN SEL : LES COTISATIONS SOCIALES OBLIGATOIRES DU GERANT</t>
  </si>
  <si>
    <t>EXERCICE EN SEL : LE COMPTE DE RESULTAT ET L'IS DE LA SEL</t>
  </si>
  <si>
    <t>EXERCICE EN SEL : L'IMPOSITION PERSONNELLE DU GERANT</t>
  </si>
  <si>
    <t>Votre rémunération nette imposable s'établit à :</t>
  </si>
  <si>
    <t>Charges sociales du gérant payées par la société :</t>
  </si>
  <si>
    <t>Rémunération brute</t>
  </si>
  <si>
    <t>Charges sociales déductibles :</t>
  </si>
  <si>
    <t>(hors csg non déductible &amp; crds)</t>
  </si>
  <si>
    <t>Prélèvement libératoire sur dividendes</t>
  </si>
  <si>
    <t>EXERCICE EN SEL : RECAPITULATIF DES PRELEVEMENTS OBLIGATOIRES</t>
  </si>
  <si>
    <t>REVENU DISPONIBLE PERSONNEL</t>
  </si>
  <si>
    <t>EXERCICE EN SEL : L'EQUILIBRE FINANCIER</t>
  </si>
  <si>
    <t>Les autres correctifs sont les suivants</t>
  </si>
  <si>
    <t>EMPRUNTS SOUSCRITS</t>
  </si>
  <si>
    <t>TRESORERIE DEGAGEE DANS L'ENTREPRISE</t>
  </si>
  <si>
    <t>SEL</t>
  </si>
  <si>
    <t xml:space="preserve">      étant précisé que la trésorerie dégagée est de :</t>
  </si>
  <si>
    <t>Prélèvements sociaux</t>
  </si>
  <si>
    <t>Total des prélèvements liés à la distribution de réserves :</t>
  </si>
  <si>
    <t>CNBR</t>
  </si>
  <si>
    <t>- Retraite auprès de la :</t>
  </si>
  <si>
    <t>CARDSF</t>
  </si>
  <si>
    <t>FRAIS DOMICILE/LIEU DE TRAVAIL</t>
  </si>
  <si>
    <t>Il est précisé que les cotisations sociales obligatoires se calculent automatiquement "en dedans" sur la base du bénéfice dégagé. Les cases concernées surlignées en bleu ne sont donc pas accessibles.</t>
  </si>
  <si>
    <t>Ainsi, il n'intègre pas d'éventuelles régularisations de cotisations sociales au titre d'années antérieures.</t>
  </si>
  <si>
    <t>Revenu imposable</t>
  </si>
  <si>
    <t>Nombre de parts</t>
  </si>
  <si>
    <t>Foyer Fiscal</t>
  </si>
  <si>
    <t>nombre de parts pour liste déroulante</t>
  </si>
  <si>
    <t>csg non déductible</t>
  </si>
  <si>
    <t>En fonction des particularités de chaque profession au niveau des caisses de retraite, l’outil fait une approche des cotisations sociales en fonction des taux à jour au 01/01/2011. Les calculs se font automatiquement "en dedans" pour appréhender exactement le coût des charges sociales afférentes au bénéfice de l'année. Il n'intègre aucunement les éventuelles régularisations que le professionnel aurait à supporter au titre d'années antérieures.</t>
  </si>
  <si>
    <t>L'outil intègre enfin les modifications apportées par l’article 22 de la loi de financement de la Sécurité Sociale pour 2009 concernant les dividendes versés par les SEL.</t>
  </si>
  <si>
    <t>Cet outil de simulation spécifique aux professions libérales, réalisé à partir d'un tableur Excel, permet une comparaison entre l'exercice individuel fiscalisé en BNC et l'exercice en société de forme SEL soumise à l'impôt sur les sociétés.</t>
  </si>
  <si>
    <t>Il est rappelé que la seule ambition de cet outil est de permettre une comparaison objective sur la base de données chiffrées et actualisées. En conséquence, s’agissant d’une simple approche, nous vous remercions de nous faire remonter toutes vos suggestions d’utilisateur (entreprises@cs.experts-comptables.org).</t>
  </si>
  <si>
    <t>Loïc Geslin</t>
  </si>
  <si>
    <t>L'outil fait également une approche simplifiée de l’impôt sur le revenu sur la base du barème 2011 applicable aux revenus de 2010. Les calculs sont effectués sur la base d'un barême simplifié ne prenant en compte le plafonnement du quotient familial qu'à partir de la deuxième part. Les revenus autres que ceux procurés par l'activité professionnelle objet de la présente simulation sont à saisir pour leur montant global net imposable. Il n'est pas tenu compte des éventuels réductions et crédits d'impôts.</t>
  </si>
  <si>
    <t>(sur la base du revenu imposable avant cotisations sociales déductibles)</t>
  </si>
  <si>
    <t>montant retraite</t>
  </si>
  <si>
    <t>code caisse</t>
  </si>
  <si>
    <t>caisse</t>
  </si>
  <si>
    <r>
      <t xml:space="preserve">COMPTE DE RESULTAT DE L'EXERCICE </t>
    </r>
    <r>
      <rPr>
        <sz val="16"/>
        <color indexed="8"/>
        <rFont val="Trebuchet MS"/>
        <family val="2"/>
      </rPr>
      <t>(En liste)</t>
    </r>
  </si>
  <si>
    <r>
      <t xml:space="preserve">COMPTE DE RÉSULTAT DE L'EXERCICE </t>
    </r>
    <r>
      <rPr>
        <sz val="9"/>
        <rFont val="Trebuchet MS"/>
        <family val="2"/>
      </rPr>
      <t>(Suite)</t>
    </r>
  </si>
  <si>
    <r>
      <t xml:space="preserve">Dans l'hypothèse d'un exercice individuel et selon vos prévisions d'exploitation, veuillez </t>
    </r>
    <r>
      <rPr>
        <b/>
        <sz val="12"/>
        <rFont val="Trebuchet MS"/>
        <family val="2"/>
      </rPr>
      <t xml:space="preserve">remplir les cases rouges </t>
    </r>
    <r>
      <rPr>
        <sz val="12"/>
        <rFont val="Trebuchet MS"/>
        <family val="2"/>
      </rPr>
      <t>de la déclaration n°2035 ci-dessous.</t>
    </r>
  </si>
  <si>
    <t>Profession</t>
  </si>
  <si>
    <t>MALADIE</t>
  </si>
  <si>
    <t>______________</t>
  </si>
  <si>
    <t>1) Passage d'une comptabilité de trésorerie à une comptabilité d'engagement</t>
  </si>
  <si>
    <t>Surcoût administratif estimé</t>
  </si>
  <si>
    <t xml:space="preserve">2) Passage des prélèvements personnels à une rémunération de la gérance </t>
  </si>
  <si>
    <t>Contrats Loi Madelin</t>
  </si>
  <si>
    <t>Rémunération estimée</t>
  </si>
  <si>
    <t>Montant du capital social de votre société</t>
  </si>
  <si>
    <t>Dividendes attendus</t>
  </si>
  <si>
    <t>D.G.I. N° 2052</t>
  </si>
  <si>
    <t>Les frais Domicile/Travail ne sont pas inclus en ligne FW de la 2052 dans la mesure où ils sont couverts par la déduction de 10%</t>
  </si>
  <si>
    <t>D.G.I. N° 2053</t>
  </si>
  <si>
    <t xml:space="preserve"> Entreprise Individuelle</t>
  </si>
  <si>
    <t>____________________</t>
  </si>
  <si>
    <t>IR progressif</t>
  </si>
  <si>
    <t>CONCLUSION</t>
  </si>
  <si>
    <t>Comité des professions libérales du Conseil Supérieur avec la participation de :</t>
  </si>
  <si>
    <t>Accéder au simulateur</t>
  </si>
  <si>
    <t>Nom &amp; prénom</t>
  </si>
  <si>
    <t xml:space="preserve">Prélèvements obligatoires : </t>
  </si>
  <si>
    <t>Coordonnées de l'expert-comptable</t>
  </si>
  <si>
    <t>Cabinet d'expertise comptable</t>
  </si>
  <si>
    <t>Adresse</t>
  </si>
  <si>
    <t>Code postal - Ville</t>
  </si>
  <si>
    <t>N° Téléphone</t>
  </si>
  <si>
    <t>Courriel</t>
  </si>
  <si>
    <t>SIMULATEUR DE CHOIX ENTRE EXERCICE INDIVIDUEL 
ET ASSOCIE D'UNE SOCIETE D'EXERCICE LIBERAL SOUMISE A L'IMPOT SOCIETE 
- Année 2011 -</t>
  </si>
  <si>
    <t>Personnel intérimaire . . . . . . . . . . . . . . . . . . . . . . . . . . . . . . . . . . . . . .</t>
  </si>
  <si>
    <t xml:space="preserve">Petit outillage . . . . . . . . . . . . . . . . . . . . . . . . . . . . . . . . . . . . . . . . . . . </t>
  </si>
  <si>
    <t xml:space="preserve">Chauffage, eau, gaz, électricité . . . . . . . . . . . . . . . . . . . . . . . . . . . . . . . . </t>
  </si>
  <si>
    <t xml:space="preserve">Honoraires ne constituant pas des rétrocessions . . . . . . . . . . . . . . . . . . . . . </t>
  </si>
  <si>
    <t xml:space="preserve">Primes d'assurances . . . . . . . . . . . . . . . . . . . . . . . . . . . . . . . . . . . . . . . . </t>
  </si>
  <si>
    <t>Frais de véhicules . . . . . . . . . . . . . . . . . . . . . . . . . . . . . . . . . . . . . . . . .</t>
  </si>
  <si>
    <t>Autres frais de déplacements (voyages...) . . . . . . . . . . . . . . . . . . . . . . . . . .</t>
  </si>
  <si>
    <t>Fournit bur, frais de doc, de corresp et de tél . . . . . . . . . . . . . . . . . . . . . . . .</t>
  </si>
  <si>
    <t>Frais d'actes et de contentieux . . . . . . . . . . . . . . . . . . . . . . . . . . . . . . . . . .</t>
  </si>
  <si>
    <t>Cotisation syndicales et professionnelles . . . . . . . . . . . . . . . . . . . . . . . . . . . .</t>
  </si>
  <si>
    <t>Entretien et réparations . . . . . . . . . . . . . . . . . . . . . . . . . . . . . . . . . . . .</t>
  </si>
  <si>
    <r>
      <t xml:space="preserve">7 </t>
    </r>
    <r>
      <rPr>
        <sz val="16"/>
        <color theme="1"/>
        <rFont val="Trebuchet MS"/>
        <family val="2"/>
      </rPr>
      <t>Fin de la partie sur l'exercice individuel</t>
    </r>
    <r>
      <rPr>
        <sz val="16"/>
        <color theme="1"/>
        <rFont val="Webdings"/>
        <family val="1"/>
        <charset val="2"/>
      </rPr>
      <t xml:space="preserve"> 8</t>
    </r>
  </si>
  <si>
    <r>
      <t xml:space="preserve">7 </t>
    </r>
    <r>
      <rPr>
        <sz val="16"/>
        <color theme="1"/>
        <rFont val="Trebuchet MS"/>
        <family val="2"/>
      </rPr>
      <t>Fin de la partie sur l'exercice en SEL</t>
    </r>
    <r>
      <rPr>
        <sz val="16"/>
        <color theme="1"/>
        <rFont val="Webdings"/>
        <family val="1"/>
        <charset val="2"/>
      </rPr>
      <t xml:space="preserve"> 8</t>
    </r>
  </si>
  <si>
    <t>. . . . . . . dont frais domicile/lieu de travail</t>
  </si>
  <si>
    <t>Informations Client</t>
  </si>
  <si>
    <t>Contact</t>
  </si>
  <si>
    <t>- Impôt sur le revenu</t>
  </si>
  <si>
    <t>- CSG/CRDS</t>
  </si>
  <si>
    <t>- Cotisations sociales des Travailleurs Non Salariés :</t>
  </si>
  <si>
    <t>Client</t>
  </si>
  <si>
    <t>La base de calcul de vos cotisations sociales obligatoires n'est donc plus votre BNC,
mais votre rémunération nette allouée par la SEL, bénéficiant d'un abattement de 10%.</t>
  </si>
  <si>
    <t>soit des dividendes soumis à cotisations à hauteur de :</t>
  </si>
  <si>
    <r>
      <t>URSSAF</t>
    </r>
    <r>
      <rPr>
        <sz val="8"/>
        <rFont val="Trebuchet MS"/>
        <family val="2"/>
      </rPr>
      <t xml:space="preserve"> (dont CSG-CRDS)</t>
    </r>
  </si>
  <si>
    <t>Achats de marchandises (y compris droits de douane)*</t>
  </si>
  <si>
    <t>Achats de matières premières et autres approvisionnements ( y compris droits de douane)*</t>
  </si>
  <si>
    <r>
      <t xml:space="preserve">Perte supportée ou bénéfice transféré*                                                                     </t>
    </r>
    <r>
      <rPr>
        <b/>
        <sz val="10"/>
        <rFont val="Trebuchet MS"/>
        <family val="2"/>
      </rPr>
      <t xml:space="preserve"> </t>
    </r>
    <r>
      <rPr>
        <sz val="10"/>
        <rFont val="Trebuchet MS"/>
        <family val="2"/>
      </rPr>
      <t>(IV)</t>
    </r>
  </si>
  <si>
    <t>Opérations commun</t>
  </si>
  <si>
    <t>Production vendue</t>
  </si>
  <si>
    <t>biens*</t>
  </si>
  <si>
    <t>services*</t>
  </si>
  <si>
    <t>produits d'exploitation afférents à des exercices antérieurs (à détailler au (8) ci-dessous)</t>
  </si>
  <si>
    <t>Détail des produits et charges exceptionnels (si ce cadre est insuffisant, joindre un état du même modèle) :</t>
  </si>
  <si>
    <t>CHARGES EXCEPT.</t>
  </si>
  <si>
    <t>PRODUITS EXCEPT.</t>
  </si>
  <si>
    <t>Dont produits concernant les entreprises liées</t>
  </si>
  <si>
    <t>L'IS, calculé au taux de 15% jusqu'à 38 120 € et de 33,33% pour la fraction excédentaire, s'élève à :</t>
  </si>
  <si>
    <t>Dividendes</t>
  </si>
  <si>
    <t>Net fiscal</t>
  </si>
  <si>
    <t>Rémunération nette imposable</t>
  </si>
  <si>
    <t>Dividendes imposables</t>
  </si>
  <si>
    <t>Net imposable</t>
  </si>
  <si>
    <t>Total IR + PLF sur dividendes</t>
  </si>
  <si>
    <t>Impôt sur les sociétés</t>
  </si>
  <si>
    <t>Cotisations sociales (hors CSG)</t>
  </si>
  <si>
    <t>Les prélèvements obligatoires 
sont donc les suivants :</t>
  </si>
  <si>
    <t>déjà déduit du BNC</t>
  </si>
  <si>
    <t>Plus-values à court terme . . . . . . . . . . . . . . . . . . . . . . . . . . . . . . . . . . . . . . . . . . . . . . . . . . . . . . . . . . . . . . . . . . . . . . . . . . . . . . . . . . . . . . . . . . . . . . . . . . . . . . . . . . . . . .</t>
  </si>
  <si>
    <t>Par hypothèse : si le nombre de parts est supérieur ou égal à 2,  cela correspond à un couple marié avec ou sans enfant</t>
  </si>
  <si>
    <t>Ce montant ne tient pas compte des réductions et crédits d'impôts éventuels</t>
  </si>
  <si>
    <t>Déclaration 2035 : Ligne 45-Ligne 41-ligne 36</t>
  </si>
  <si>
    <t>Cette rémunération est supposée nette, pour faciliter la comparaison avec l'exercice libéral. 
Les cotisations sociales afférentes sont prises en charge par la SEL.</t>
  </si>
  <si>
    <t xml:space="preserve"> « (...)  l'assujettissement aux cotisations sociales des "revenus d'activité" concernant les professionnels libéraux, ces revenus incluant les dividendes et les intérêts des sommes laissées par les associés en "compte courant" pour la partie qui excède 10% du capital social, des primes d'émission et des sommes en compte courant ».</t>
  </si>
  <si>
    <t>PRELEVEMENTS NETS ET DIVIDENDES</t>
  </si>
  <si>
    <t xml:space="preserve">  - que les investissements et les besoins de financement sont des critères primordiaux dans le choix d'une structure qui ne peut s'opérer sans une analyse précise des prélèvements obligatoires.</t>
  </si>
  <si>
    <t xml:space="preserve">   - que si des réserves sont distribuées à hauteur de :</t>
  </si>
  <si>
    <t xml:space="preserve">                        elles seront assujetties à l'IR et aux prélèvements sociaux suivants : </t>
  </si>
  <si>
    <t>La recherche de l'optimisation de ces différents critères a guidé l'élaboration du présent simulateur.</t>
  </si>
  <si>
    <t>A l'ouverture du fichier, selon le paramétrage de votre logiciel,  une fenêtre peut s'ouvrir contenant un message "Avertissement de référence circulaire"</t>
  </si>
  <si>
    <r>
      <t xml:space="preserve">
- Version 2007 : </t>
    </r>
    <r>
      <rPr>
        <sz val="14"/>
        <color theme="1"/>
        <rFont val="Trebuchet MS"/>
        <family val="2"/>
      </rPr>
      <t>Bouton Office / Options Excel / Formules / Partie "mode de calcul", cochez la case "activer le calcul itératif"</t>
    </r>
    <r>
      <rPr>
        <b/>
        <sz val="14"/>
        <color theme="1"/>
        <rFont val="Trebuchet MS"/>
        <family val="2"/>
      </rPr>
      <t xml:space="preserve">
- Version antérieure : </t>
    </r>
    <r>
      <rPr>
        <sz val="14"/>
        <color theme="1"/>
        <rFont val="Trebuchet MS"/>
        <family val="2"/>
      </rPr>
      <t>Outils / Options / onglet "calcul", cocher la case "Itération"</t>
    </r>
  </si>
  <si>
    <t>AVERTISSEMENT</t>
  </si>
  <si>
    <t>Cliquez sur le bouton "Annuler" et procédez au paramétrage suivant dans Excel :</t>
  </si>
  <si>
    <t>Accéder à la note liminaire</t>
  </si>
  <si>
    <t>Ce simulateur, développé sur Excel 2007, utilise le mode de calculs itératifs. 
Tous les postes n'étant pas paramétrés avec cette option, il convient de procéder à un paramétrage préalablement à l'utilisation de ce fichier.</t>
  </si>
  <si>
    <t xml:space="preserve">Si une fenêtre "Avertissement de référence circulaire" 
s'ouvre à l'ouverture du fichier, veuillez lire les consignes ci-dessous : </t>
  </si>
  <si>
    <t>Les données et prévisions chiffrées doivent ensuite être portées dans les zones colorées prévues à cet effet. Ces mêmes données à saisir dans la partie relative à l'exercice individuel sont reprises automatiquement dans celle traitant de la SEL. Il est fait abstraction, par souci de simplification, des décalages créances et dettes générées par la tenue d'une comptabilité d'engagement en SEL.</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</si>
</sst>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00\ [$€-1]_-;\-* #,##0.00\ [$€-1]_-;_-* &quot;-&quot;??\ [$€-1]_-"/>
    <numFmt numFmtId="165" formatCode="#,##0.0"/>
    <numFmt numFmtId="166" formatCode="0.000%"/>
    <numFmt numFmtId="167" formatCode="&quot; &quot;@"/>
    <numFmt numFmtId="168" formatCode="#,##0\ _€"/>
    <numFmt numFmtId="169" formatCode="#,##0\ &quot;€&quot;"/>
    <numFmt numFmtId="170" formatCode="\+\ #,##0\ &quot;€&quot;;\-\ #,##0\ &quot;€&quot;"/>
  </numFmts>
  <fonts count="67" x14ac:knownFonts="1">
    <font>
      <sz val="10"/>
      <name val="Arial"/>
    </font>
    <font>
      <sz val="10"/>
      <name val="Arial"/>
      <family val="2"/>
    </font>
    <font>
      <b/>
      <sz val="10"/>
      <name val="Arial"/>
      <family val="2"/>
    </font>
    <font>
      <b/>
      <sz val="20"/>
      <name val="Arial"/>
      <family val="2"/>
    </font>
    <font>
      <b/>
      <sz val="12"/>
      <name val="Arial"/>
      <family val="2"/>
    </font>
    <font>
      <u/>
      <sz val="10"/>
      <name val="Arial"/>
      <family val="2"/>
    </font>
    <font>
      <sz val="12"/>
      <name val="Arial"/>
      <family val="2"/>
    </font>
    <font>
      <sz val="8"/>
      <name val="Arial"/>
      <family val="2"/>
    </font>
    <font>
      <sz val="10"/>
      <name val="Arial"/>
      <family val="2"/>
    </font>
    <font>
      <sz val="8"/>
      <name val="Arial"/>
      <family val="2"/>
    </font>
    <font>
      <sz val="8"/>
      <name val="Arial"/>
      <family val="2"/>
    </font>
    <font>
      <b/>
      <u/>
      <sz val="10"/>
      <name val="Arial"/>
      <family val="2"/>
    </font>
    <font>
      <sz val="10"/>
      <name val="Trebuchet MS"/>
      <family val="2"/>
    </font>
    <font>
      <sz val="12"/>
      <name val="Trebuchet MS"/>
      <family val="2"/>
    </font>
    <font>
      <b/>
      <sz val="12"/>
      <name val="Trebuchet MS"/>
      <family val="2"/>
    </font>
    <font>
      <b/>
      <sz val="14"/>
      <color theme="1"/>
      <name val="Trebuchet MS"/>
      <family val="2"/>
    </font>
    <font>
      <sz val="12"/>
      <color indexed="9"/>
      <name val="Trebuchet MS"/>
      <family val="2"/>
    </font>
    <font>
      <sz val="7"/>
      <color indexed="9"/>
      <name val="Trebuchet MS"/>
      <family val="2"/>
    </font>
    <font>
      <sz val="7"/>
      <name val="Trebuchet MS"/>
      <family val="2"/>
    </font>
    <font>
      <b/>
      <sz val="9"/>
      <name val="Trebuchet MS"/>
      <family val="2"/>
    </font>
    <font>
      <b/>
      <sz val="11"/>
      <name val="Trebuchet MS"/>
      <family val="2"/>
    </font>
    <font>
      <sz val="9"/>
      <name val="Trebuchet MS"/>
      <family val="2"/>
    </font>
    <font>
      <sz val="5"/>
      <name val="Trebuchet MS"/>
      <family val="2"/>
    </font>
    <font>
      <sz val="8"/>
      <name val="Trebuchet MS"/>
      <family val="2"/>
    </font>
    <font>
      <b/>
      <sz val="7"/>
      <name val="Trebuchet MS"/>
      <family val="2"/>
    </font>
    <font>
      <b/>
      <sz val="8"/>
      <name val="Trebuchet MS"/>
      <family val="2"/>
    </font>
    <font>
      <sz val="12"/>
      <color indexed="8"/>
      <name val="Trebuchet MS"/>
      <family val="2"/>
    </font>
    <font>
      <u/>
      <sz val="12"/>
      <name val="Trebuchet MS"/>
      <family val="2"/>
    </font>
    <font>
      <b/>
      <i/>
      <u/>
      <sz val="12"/>
      <name val="Trebuchet MS"/>
      <family val="2"/>
    </font>
    <font>
      <sz val="16"/>
      <name val="Trebuchet MS"/>
      <family val="2"/>
    </font>
    <font>
      <b/>
      <sz val="16"/>
      <name val="Trebuchet MS"/>
      <family val="2"/>
    </font>
    <font>
      <i/>
      <sz val="12"/>
      <name val="Trebuchet MS"/>
      <family val="2"/>
    </font>
    <font>
      <b/>
      <u/>
      <sz val="12"/>
      <name val="Trebuchet MS"/>
      <family val="2"/>
    </font>
    <font>
      <b/>
      <sz val="10"/>
      <name val="Trebuchet MS"/>
      <family val="2"/>
    </font>
    <font>
      <b/>
      <i/>
      <sz val="12"/>
      <name val="Trebuchet MS"/>
      <family val="2"/>
    </font>
    <font>
      <b/>
      <sz val="16"/>
      <color indexed="8"/>
      <name val="Trebuchet MS"/>
      <family val="2"/>
    </font>
    <font>
      <sz val="16"/>
      <color indexed="8"/>
      <name val="Trebuchet MS"/>
      <family val="2"/>
    </font>
    <font>
      <sz val="6"/>
      <name val="Trebuchet MS"/>
      <family val="2"/>
    </font>
    <font>
      <sz val="12"/>
      <color indexed="10"/>
      <name val="Trebuchet MS"/>
      <family val="2"/>
    </font>
    <font>
      <b/>
      <sz val="12"/>
      <color indexed="56"/>
      <name val="Trebuchet MS"/>
      <family val="2"/>
    </font>
    <font>
      <sz val="14"/>
      <name val="Trebuchet MS"/>
      <family val="2"/>
    </font>
    <font>
      <b/>
      <sz val="12"/>
      <color rgb="FFFF0000"/>
      <name val="Trebuchet MS"/>
      <family val="2"/>
    </font>
    <font>
      <sz val="12"/>
      <color rgb="FFFF0000"/>
      <name val="Trebuchet MS"/>
      <family val="2"/>
    </font>
    <font>
      <sz val="10"/>
      <color rgb="FFFF0000"/>
      <name val="Trebuchet MS"/>
      <family val="2"/>
    </font>
    <font>
      <sz val="14"/>
      <color rgb="FFFF0000"/>
      <name val="Trebuchet MS"/>
      <family val="2"/>
    </font>
    <font>
      <sz val="36"/>
      <color theme="1"/>
      <name val="Webdings"/>
      <family val="1"/>
      <charset val="2"/>
    </font>
    <font>
      <b/>
      <sz val="12"/>
      <color indexed="10"/>
      <name val="Trebuchet MS"/>
      <family val="2"/>
    </font>
    <font>
      <u/>
      <sz val="10"/>
      <color theme="10"/>
      <name val="Arial"/>
      <family val="2"/>
    </font>
    <font>
      <sz val="11"/>
      <color rgb="FF8F9092"/>
      <name val="Calibri"/>
      <family val="2"/>
    </font>
    <font>
      <sz val="10"/>
      <color rgb="FF8F9092"/>
      <name val="Calibri"/>
      <family val="2"/>
    </font>
    <font>
      <sz val="11"/>
      <name val="Trebuchet MS"/>
      <family val="2"/>
    </font>
    <font>
      <sz val="10"/>
      <color indexed="9"/>
      <name val="Trebuchet MS"/>
      <family val="2"/>
    </font>
    <font>
      <b/>
      <sz val="10"/>
      <color theme="1"/>
      <name val="Trebuchet MS"/>
      <family val="2"/>
    </font>
    <font>
      <b/>
      <sz val="10"/>
      <color rgb="FFFF0000"/>
      <name val="Trebuchet MS"/>
      <family val="2"/>
    </font>
    <font>
      <b/>
      <sz val="12"/>
      <color theme="6" tint="-0.499984740745262"/>
      <name val="Trebuchet MS"/>
      <family val="2"/>
    </font>
    <font>
      <sz val="10"/>
      <color theme="0"/>
      <name val="Trebuchet MS"/>
      <family val="2"/>
    </font>
    <font>
      <b/>
      <sz val="12"/>
      <color theme="0"/>
      <name val="Trebuchet MS"/>
      <family val="2"/>
    </font>
    <font>
      <sz val="16"/>
      <color theme="1"/>
      <name val="Webdings"/>
      <family val="1"/>
      <charset val="2"/>
    </font>
    <font>
      <sz val="16"/>
      <color theme="1"/>
      <name val="Trebuchet MS"/>
      <family val="2"/>
    </font>
    <font>
      <sz val="12"/>
      <color theme="0"/>
      <name val="Trebuchet MS"/>
      <family val="2"/>
    </font>
    <font>
      <i/>
      <sz val="10"/>
      <name val="Trebuchet MS"/>
      <family val="2"/>
    </font>
    <font>
      <i/>
      <sz val="10"/>
      <color theme="0"/>
      <name val="Trebuchet MS"/>
      <family val="2"/>
    </font>
    <font>
      <b/>
      <u/>
      <sz val="10"/>
      <name val="Trebuchet MS"/>
      <family val="2"/>
    </font>
    <font>
      <b/>
      <sz val="11"/>
      <color theme="0"/>
      <name val="Trebuchet MS"/>
      <family val="2"/>
    </font>
    <font>
      <b/>
      <sz val="12"/>
      <color rgb="FFCC6600"/>
      <name val="Trebuchet MS"/>
      <family val="2"/>
    </font>
    <font>
      <b/>
      <sz val="18"/>
      <color theme="1"/>
      <name val="Trebuchet MS"/>
      <family val="2"/>
    </font>
    <font>
      <sz val="14"/>
      <color theme="1"/>
      <name val="Trebuchet MS"/>
      <family val="2"/>
    </font>
  </fonts>
  <fills count="13">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59"/>
        <bgColor indexed="64"/>
      </patternFill>
    </fill>
    <fill>
      <patternFill patternType="solid">
        <fgColor indexed="8"/>
        <bgColor indexed="64"/>
      </patternFill>
    </fill>
    <fill>
      <patternFill patternType="solid">
        <fgColor rgb="FFFFFF00"/>
        <bgColor indexed="64"/>
      </patternFill>
    </fill>
    <fill>
      <gradientFill degree="90">
        <stop position="0">
          <color theme="4"/>
        </stop>
        <stop position="1">
          <color theme="0"/>
        </stop>
      </gradientFill>
    </fill>
    <fill>
      <patternFill patternType="solid">
        <fgColor rgb="FFC00000"/>
        <bgColor indexed="64"/>
      </patternFill>
    </fill>
    <fill>
      <patternFill patternType="solid">
        <fgColor rgb="FFC00000"/>
        <bgColor auto="1"/>
      </patternFill>
    </fill>
    <fill>
      <patternFill patternType="solid">
        <fgColor theme="8"/>
        <bgColor auto="1"/>
      </patternFill>
    </fill>
    <fill>
      <patternFill patternType="solid">
        <fgColor theme="8"/>
        <bgColor indexed="64"/>
      </patternFill>
    </fill>
    <fill>
      <patternFill patternType="solid">
        <fgColor theme="0"/>
        <bgColor auto="1"/>
      </patternFill>
    </fill>
  </fills>
  <borders count="102">
    <border>
      <left/>
      <right/>
      <top/>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bottom style="thin">
        <color indexed="64"/>
      </bottom>
      <diagonal/>
    </border>
    <border>
      <left/>
      <right/>
      <top style="thin">
        <color indexed="64"/>
      </top>
      <bottom style="hair">
        <color indexed="64"/>
      </bottom>
      <diagonal/>
    </border>
    <border>
      <left style="thin">
        <color indexed="64"/>
      </left>
      <right/>
      <top style="hair">
        <color indexed="64"/>
      </top>
      <bottom/>
      <diagonal/>
    </border>
    <border>
      <left style="medium">
        <color indexed="64"/>
      </left>
      <right style="medium">
        <color indexed="64"/>
      </right>
      <top style="hair">
        <color indexed="64"/>
      </top>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medium">
        <color indexed="64"/>
      </left>
      <right style="medium">
        <color indexed="64"/>
      </right>
      <top style="hair">
        <color indexed="64"/>
      </top>
      <bottom style="thin">
        <color indexed="64"/>
      </bottom>
      <diagonal/>
    </border>
    <border>
      <left style="medium">
        <color indexed="64"/>
      </left>
      <right style="thin">
        <color indexed="64"/>
      </right>
      <top style="hair">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thin">
        <color indexed="64"/>
      </right>
      <top/>
      <bottom style="hair">
        <color indexed="64"/>
      </bottom>
      <diagonal/>
    </border>
    <border>
      <left style="thin">
        <color indexed="64"/>
      </left>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right style="thin">
        <color indexed="64"/>
      </right>
      <top style="hair">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style="medium">
        <color indexed="64"/>
      </right>
      <top style="thin">
        <color indexed="64"/>
      </top>
      <bottom style="hair">
        <color indexed="64"/>
      </bottom>
      <diagonal/>
    </border>
    <border>
      <left/>
      <right/>
      <top style="hair">
        <color indexed="64"/>
      </top>
      <bottom/>
      <diagonal/>
    </border>
    <border>
      <left/>
      <right style="medium">
        <color indexed="64"/>
      </right>
      <top style="hair">
        <color indexed="64"/>
      </top>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diagonal/>
    </border>
    <border>
      <left style="medium">
        <color indexed="64"/>
      </left>
      <right style="thin">
        <color indexed="64"/>
      </right>
      <top style="hair">
        <color indexed="64"/>
      </top>
      <bottom style="hair">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hair">
        <color indexed="64"/>
      </bottom>
      <diagonal/>
    </border>
    <border>
      <left style="medium">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medium">
        <color indexed="64"/>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thin">
        <color indexed="64"/>
      </right>
      <top style="thin">
        <color indexed="64"/>
      </top>
      <bottom/>
      <diagonal/>
    </border>
    <border>
      <left style="hair">
        <color indexed="64"/>
      </left>
      <right style="hair">
        <color indexed="64"/>
      </right>
      <top/>
      <bottom style="thin">
        <color indexed="64"/>
      </bottom>
      <diagonal/>
    </border>
    <border>
      <left style="hair">
        <color indexed="64"/>
      </left>
      <right/>
      <top/>
      <bottom/>
      <diagonal/>
    </border>
    <border>
      <left style="hair">
        <color indexed="64"/>
      </left>
      <right style="thin">
        <color indexed="64"/>
      </right>
      <top style="hair">
        <color indexed="64"/>
      </top>
      <bottom/>
      <diagonal/>
    </border>
    <border>
      <left/>
      <right style="hair">
        <color indexed="64"/>
      </right>
      <top/>
      <bottom/>
      <diagonal/>
    </border>
    <border>
      <left style="hair">
        <color indexed="64"/>
      </left>
      <right style="thin">
        <color indexed="64"/>
      </right>
      <top style="hair">
        <color indexed="64"/>
      </top>
      <bottom style="hair">
        <color indexed="64"/>
      </bottom>
      <diagonal/>
    </border>
    <border>
      <left style="medium">
        <color indexed="64"/>
      </left>
      <right style="medium">
        <color indexed="64"/>
      </right>
      <top style="medium">
        <color indexed="64"/>
      </top>
      <bottom style="hair">
        <color indexed="64"/>
      </bottom>
      <diagonal/>
    </border>
    <border>
      <left style="hair">
        <color indexed="64"/>
      </left>
      <right/>
      <top/>
      <bottom style="thin">
        <color indexed="64"/>
      </bottom>
      <diagonal/>
    </border>
    <border>
      <left style="hair">
        <color indexed="64"/>
      </left>
      <right/>
      <top/>
      <bottom style="hair">
        <color indexed="64"/>
      </bottom>
      <diagonal/>
    </border>
    <border>
      <left style="hair">
        <color indexed="64"/>
      </left>
      <right style="hair">
        <color indexed="64"/>
      </right>
      <top style="hair">
        <color indexed="64"/>
      </top>
      <bottom style="hair">
        <color indexed="64"/>
      </bottom>
      <diagonal/>
    </border>
    <border>
      <left style="medium">
        <color indexed="64"/>
      </left>
      <right style="medium">
        <color indexed="64"/>
      </right>
      <top style="thin">
        <color indexed="64"/>
      </top>
      <bottom/>
      <diagonal/>
    </border>
    <border>
      <left/>
      <right style="thin">
        <color indexed="64"/>
      </right>
      <top style="thin">
        <color indexed="64"/>
      </top>
      <bottom style="hair">
        <color indexed="64"/>
      </bottom>
      <diagonal/>
    </border>
    <border>
      <left style="thin">
        <color indexed="64"/>
      </left>
      <right/>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hair">
        <color indexed="64"/>
      </bottom>
      <diagonal/>
    </border>
    <border>
      <left style="thin">
        <color indexed="64"/>
      </left>
      <right style="thin">
        <color indexed="64"/>
      </right>
      <top/>
      <bottom/>
      <diagonal/>
    </border>
    <border>
      <left style="hair">
        <color indexed="64"/>
      </left>
      <right style="thin">
        <color indexed="64"/>
      </right>
      <top/>
      <bottom/>
      <diagonal/>
    </border>
    <border>
      <left style="medium">
        <color indexed="64"/>
      </left>
      <right/>
      <top/>
      <bottom style="hair">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thin">
        <color indexed="64"/>
      </left>
      <right style="hair">
        <color indexed="64"/>
      </right>
      <top/>
      <bottom/>
      <diagonal/>
    </border>
  </borders>
  <cellStyleXfs count="3">
    <xf numFmtId="0" fontId="0" fillId="0" borderId="0"/>
    <xf numFmtId="164" fontId="1" fillId="0" borderId="0" applyFont="0" applyFill="0" applyBorder="0" applyAlignment="0" applyProtection="0"/>
    <xf numFmtId="0" fontId="47" fillId="0" borderId="0" applyNumberFormat="0" applyFill="0" applyBorder="0" applyAlignment="0" applyProtection="0">
      <alignment vertical="top"/>
      <protection locked="0"/>
    </xf>
  </cellStyleXfs>
  <cellXfs count="659">
    <xf numFmtId="0" fontId="0" fillId="0" borderId="0" xfId="0"/>
    <xf numFmtId="1" fontId="0" fillId="0" borderId="1" xfId="0" applyNumberFormat="1" applyBorder="1"/>
    <xf numFmtId="3" fontId="0" fillId="0" borderId="0" xfId="0" applyNumberFormat="1" applyProtection="1"/>
    <xf numFmtId="3" fontId="0" fillId="0" borderId="0" xfId="0" applyNumberFormat="1"/>
    <xf numFmtId="3" fontId="0" fillId="0" borderId="0" xfId="0" applyNumberFormat="1" applyAlignment="1">
      <alignment horizontal="center"/>
    </xf>
    <xf numFmtId="3" fontId="0" fillId="0" borderId="2" xfId="0" applyNumberFormat="1" applyBorder="1"/>
    <xf numFmtId="3" fontId="0" fillId="0" borderId="3" xfId="0" applyNumberFormat="1" applyBorder="1"/>
    <xf numFmtId="3" fontId="0" fillId="0" borderId="4" xfId="0" applyNumberFormat="1" applyBorder="1"/>
    <xf numFmtId="3" fontId="0" fillId="0" borderId="5" xfId="0" applyNumberFormat="1" applyBorder="1"/>
    <xf numFmtId="3" fontId="0" fillId="0" borderId="0" xfId="0" applyNumberFormat="1" applyBorder="1"/>
    <xf numFmtId="3" fontId="0" fillId="0" borderId="1" xfId="0" applyNumberFormat="1" applyBorder="1"/>
    <xf numFmtId="3" fontId="0" fillId="0" borderId="0" xfId="0" applyNumberFormat="1" applyBorder="1" applyAlignment="1">
      <alignment horizontal="center"/>
    </xf>
    <xf numFmtId="3" fontId="0" fillId="0" borderId="6" xfId="0" applyNumberFormat="1" applyBorder="1"/>
    <xf numFmtId="3" fontId="0" fillId="0" borderId="7" xfId="0" applyNumberFormat="1" applyBorder="1"/>
    <xf numFmtId="3" fontId="0" fillId="0" borderId="8" xfId="0" applyNumberFormat="1" applyBorder="1"/>
    <xf numFmtId="3" fontId="3" fillId="0" borderId="0" xfId="0" applyNumberFormat="1" applyFont="1"/>
    <xf numFmtId="3" fontId="0" fillId="0" borderId="0" xfId="0" applyNumberFormat="1" applyAlignment="1">
      <alignment horizontal="right"/>
    </xf>
    <xf numFmtId="3" fontId="0" fillId="0" borderId="0" xfId="0" applyNumberFormat="1" applyFill="1" applyBorder="1"/>
    <xf numFmtId="3" fontId="5" fillId="0" borderId="0" xfId="0" applyNumberFormat="1" applyFont="1"/>
    <xf numFmtId="3" fontId="4" fillId="0" borderId="0" xfId="0" applyNumberFormat="1" applyFont="1"/>
    <xf numFmtId="3" fontId="2" fillId="0" borderId="0" xfId="0" applyNumberFormat="1" applyFont="1" applyFill="1" applyBorder="1"/>
    <xf numFmtId="3" fontId="2" fillId="0" borderId="0" xfId="0" applyNumberFormat="1" applyFont="1"/>
    <xf numFmtId="3" fontId="0" fillId="0" borderId="0" xfId="0" applyNumberFormat="1" applyBorder="1" applyAlignment="1">
      <alignment horizontal="right"/>
    </xf>
    <xf numFmtId="3" fontId="0" fillId="0" borderId="5" xfId="0" applyNumberFormat="1" applyFill="1" applyBorder="1"/>
    <xf numFmtId="3" fontId="2" fillId="0" borderId="0" xfId="0" applyNumberFormat="1" applyFont="1" applyBorder="1"/>
    <xf numFmtId="3" fontId="8" fillId="0" borderId="0" xfId="0" applyNumberFormat="1" applyFont="1" applyBorder="1" applyAlignment="1">
      <alignment horizontal="right"/>
    </xf>
    <xf numFmtId="3" fontId="0" fillId="0" borderId="0" xfId="0" applyNumberFormat="1" applyBorder="1" applyAlignment="1">
      <alignment horizontal="center" vertical="center"/>
    </xf>
    <xf numFmtId="3" fontId="0" fillId="0" borderId="0" xfId="0" applyNumberFormat="1" applyBorder="1" applyAlignment="1">
      <alignment vertical="center"/>
    </xf>
    <xf numFmtId="1" fontId="0" fillId="0" borderId="0" xfId="0" applyNumberFormat="1" applyBorder="1" applyAlignment="1">
      <alignment horizontal="center" vertical="center"/>
    </xf>
    <xf numFmtId="1" fontId="0" fillId="0" borderId="0" xfId="0" applyNumberFormat="1" applyBorder="1" applyAlignment="1">
      <alignment vertical="center"/>
    </xf>
    <xf numFmtId="3" fontId="0" fillId="0" borderId="9" xfId="0" applyNumberFormat="1" applyBorder="1" applyAlignment="1">
      <alignment horizontal="center" vertical="center"/>
    </xf>
    <xf numFmtId="3" fontId="0" fillId="0" borderId="10" xfId="0" applyNumberFormat="1" applyBorder="1" applyAlignment="1">
      <alignment horizontal="center" vertical="center"/>
    </xf>
    <xf numFmtId="3" fontId="0" fillId="0" borderId="11" xfId="0" applyNumberFormat="1" applyBorder="1" applyAlignment="1">
      <alignment horizontal="center" vertical="center"/>
    </xf>
    <xf numFmtId="3" fontId="2" fillId="0" borderId="2" xfId="0" applyNumberFormat="1" applyFont="1" applyBorder="1" applyAlignment="1">
      <alignment horizontal="center" vertical="center"/>
    </xf>
    <xf numFmtId="3" fontId="2" fillId="0" borderId="3" xfId="0" applyNumberFormat="1" applyFont="1" applyBorder="1" applyAlignment="1">
      <alignment horizontal="center" vertical="center"/>
    </xf>
    <xf numFmtId="3" fontId="2" fillId="0" borderId="5" xfId="0" applyNumberFormat="1" applyFont="1" applyBorder="1" applyAlignment="1">
      <alignment horizontal="center" vertical="center"/>
    </xf>
    <xf numFmtId="3" fontId="2" fillId="0" borderId="0" xfId="0" applyNumberFormat="1" applyFont="1" applyBorder="1" applyAlignment="1">
      <alignment horizontal="center" vertical="center"/>
    </xf>
    <xf numFmtId="3" fontId="2" fillId="0" borderId="6" xfId="0" applyNumberFormat="1" applyFont="1" applyBorder="1" applyAlignment="1">
      <alignment horizontal="center" vertical="center"/>
    </xf>
    <xf numFmtId="3" fontId="2" fillId="0" borderId="7" xfId="0" applyNumberFormat="1" applyFont="1" applyBorder="1" applyAlignment="1">
      <alignment horizontal="center" vertical="center"/>
    </xf>
    <xf numFmtId="3" fontId="0" fillId="0" borderId="0" xfId="0" applyNumberFormat="1" applyFill="1" applyBorder="1" applyAlignment="1">
      <alignment horizontal="right"/>
    </xf>
    <xf numFmtId="3" fontId="0" fillId="0" borderId="12" xfId="0" applyNumberFormat="1" applyBorder="1"/>
    <xf numFmtId="3" fontId="0" fillId="0" borderId="13" xfId="0" applyNumberFormat="1" applyBorder="1"/>
    <xf numFmtId="3" fontId="0" fillId="0" borderId="14" xfId="0" applyNumberFormat="1" applyBorder="1"/>
    <xf numFmtId="3" fontId="0" fillId="0" borderId="15" xfId="0" applyNumberFormat="1" applyBorder="1"/>
    <xf numFmtId="3" fontId="0" fillId="0" borderId="0" xfId="0" applyNumberFormat="1" applyBorder="1" applyAlignment="1">
      <alignment horizontal="center" vertical="center" wrapText="1"/>
    </xf>
    <xf numFmtId="3" fontId="8" fillId="0" borderId="0" xfId="0" applyNumberFormat="1" applyFont="1" applyProtection="1"/>
    <xf numFmtId="3" fontId="1" fillId="0" borderId="0" xfId="0" applyNumberFormat="1" applyFont="1"/>
    <xf numFmtId="165" fontId="1" fillId="0" borderId="0" xfId="0" applyNumberFormat="1" applyFont="1" applyAlignment="1">
      <alignment horizontal="center"/>
    </xf>
    <xf numFmtId="10" fontId="0" fillId="0" borderId="0" xfId="0" applyNumberFormat="1" applyBorder="1"/>
    <xf numFmtId="165" fontId="1" fillId="2" borderId="0" xfId="0" applyNumberFormat="1" applyFont="1" applyFill="1" applyAlignment="1">
      <alignment horizontal="center"/>
    </xf>
    <xf numFmtId="3" fontId="1" fillId="2" borderId="0" xfId="0" applyNumberFormat="1" applyFont="1" applyFill="1"/>
    <xf numFmtId="165" fontId="1" fillId="2" borderId="0" xfId="0" applyNumberFormat="1" applyFont="1" applyFill="1"/>
    <xf numFmtId="3" fontId="0" fillId="0" borderId="16" xfId="0" applyNumberFormat="1" applyBorder="1"/>
    <xf numFmtId="3" fontId="0" fillId="0" borderId="17" xfId="0" applyNumberFormat="1" applyBorder="1" applyAlignment="1">
      <alignment horizontal="center"/>
    </xf>
    <xf numFmtId="3" fontId="0" fillId="0" borderId="12" xfId="0" applyNumberFormat="1" applyBorder="1" applyAlignment="1">
      <alignment horizontal="center"/>
    </xf>
    <xf numFmtId="3" fontId="0" fillId="0" borderId="17" xfId="0" applyNumberFormat="1" applyBorder="1"/>
    <xf numFmtId="3" fontId="0" fillId="0" borderId="18" xfId="0" applyNumberFormat="1" applyBorder="1"/>
    <xf numFmtId="3" fontId="0" fillId="0" borderId="17" xfId="0" applyNumberFormat="1" applyBorder="1" applyAlignment="1">
      <alignment horizontal="right"/>
    </xf>
    <xf numFmtId="3" fontId="7" fillId="0" borderId="0" xfId="0" applyNumberFormat="1" applyFont="1" applyBorder="1"/>
    <xf numFmtId="3" fontId="0" fillId="0" borderId="0" xfId="0" applyNumberFormat="1" applyBorder="1" applyProtection="1">
      <protection locked="0"/>
    </xf>
    <xf numFmtId="3" fontId="0" fillId="3" borderId="0" xfId="0" applyNumberFormat="1" applyFill="1" applyBorder="1" applyAlignment="1">
      <alignment horizontal="center"/>
    </xf>
    <xf numFmtId="3" fontId="0" fillId="3" borderId="12" xfId="0" applyNumberFormat="1" applyFill="1" applyBorder="1" applyAlignment="1">
      <alignment horizontal="right"/>
    </xf>
    <xf numFmtId="3" fontId="0" fillId="3" borderId="15" xfId="0" applyNumberFormat="1" applyFill="1" applyBorder="1"/>
    <xf numFmtId="3" fontId="0" fillId="3" borderId="19" xfId="0" applyNumberFormat="1" applyFill="1" applyBorder="1"/>
    <xf numFmtId="10" fontId="0" fillId="3" borderId="0" xfId="0" applyNumberFormat="1" applyFill="1" applyBorder="1"/>
    <xf numFmtId="166" fontId="0" fillId="3" borderId="0" xfId="0" applyNumberFormat="1" applyFill="1" applyBorder="1" applyAlignment="1">
      <alignment horizontal="right"/>
    </xf>
    <xf numFmtId="3" fontId="0" fillId="3" borderId="0" xfId="0" applyNumberFormat="1" applyFill="1" applyBorder="1" applyAlignment="1">
      <alignment horizontal="right"/>
    </xf>
    <xf numFmtId="3" fontId="0" fillId="3" borderId="0" xfId="0" applyNumberFormat="1" applyFill="1"/>
    <xf numFmtId="3" fontId="0" fillId="3" borderId="0" xfId="0" applyNumberFormat="1" applyFill="1" applyBorder="1"/>
    <xf numFmtId="3" fontId="0" fillId="3" borderId="16" xfId="0" applyNumberFormat="1" applyFill="1" applyBorder="1"/>
    <xf numFmtId="3" fontId="0" fillId="3" borderId="13" xfId="0" applyNumberFormat="1" applyFill="1" applyBorder="1"/>
    <xf numFmtId="3" fontId="0" fillId="3" borderId="12" xfId="0" applyNumberFormat="1" applyFill="1" applyBorder="1"/>
    <xf numFmtId="3" fontId="0" fillId="3" borderId="14" xfId="0" applyNumberFormat="1" applyFill="1" applyBorder="1"/>
    <xf numFmtId="3" fontId="0" fillId="0" borderId="5" xfId="0" applyNumberFormat="1" applyBorder="1" applyAlignment="1">
      <alignment horizontal="left"/>
    </xf>
    <xf numFmtId="3" fontId="0" fillId="0" borderId="17" xfId="0" applyNumberFormat="1" applyBorder="1" applyAlignment="1">
      <alignment horizontal="center" vertical="center"/>
    </xf>
    <xf numFmtId="3" fontId="0" fillId="0" borderId="18" xfId="0" applyNumberFormat="1" applyBorder="1" applyAlignment="1">
      <alignment horizontal="center" vertical="center"/>
    </xf>
    <xf numFmtId="3" fontId="0" fillId="0" borderId="16" xfId="0" applyNumberFormat="1" applyBorder="1" applyAlignment="1">
      <alignment horizontal="center" vertical="center"/>
    </xf>
    <xf numFmtId="3" fontId="0" fillId="0" borderId="12" xfId="0" applyNumberFormat="1" applyBorder="1" applyAlignment="1">
      <alignment horizontal="center" vertical="center"/>
    </xf>
    <xf numFmtId="3" fontId="0" fillId="0" borderId="13" xfId="0" applyNumberFormat="1" applyBorder="1" applyAlignment="1">
      <alignment horizontal="center" vertical="center"/>
    </xf>
    <xf numFmtId="3" fontId="0" fillId="0" borderId="13" xfId="0" applyNumberFormat="1" applyBorder="1" applyAlignment="1">
      <alignment horizontal="center"/>
    </xf>
    <xf numFmtId="3" fontId="0" fillId="0" borderId="19" xfId="0" applyNumberFormat="1" applyBorder="1"/>
    <xf numFmtId="3" fontId="0" fillId="0" borderId="15" xfId="0" applyNumberFormat="1" applyBorder="1" applyAlignment="1">
      <alignment horizontal="center"/>
    </xf>
    <xf numFmtId="10" fontId="0" fillId="0" borderId="0" xfId="0" applyNumberFormat="1"/>
    <xf numFmtId="3" fontId="0" fillId="3" borderId="0" xfId="0" applyNumberFormat="1" applyFill="1" applyAlignment="1">
      <alignment horizontal="center"/>
    </xf>
    <xf numFmtId="3" fontId="0" fillId="0" borderId="0" xfId="0" applyNumberFormat="1" applyFill="1" applyAlignment="1">
      <alignment horizontal="right"/>
    </xf>
    <xf numFmtId="3" fontId="0" fillId="0" borderId="0" xfId="0" applyNumberFormat="1" applyFill="1"/>
    <xf numFmtId="3" fontId="8" fillId="2" borderId="0" xfId="0" applyNumberFormat="1" applyFont="1" applyFill="1"/>
    <xf numFmtId="3" fontId="8" fillId="0" borderId="0" xfId="0" applyNumberFormat="1" applyFont="1"/>
    <xf numFmtId="10" fontId="0" fillId="0" borderId="0" xfId="0" applyNumberFormat="1" applyBorder="1" applyAlignment="1">
      <alignment horizontal="center"/>
    </xf>
    <xf numFmtId="3" fontId="8" fillId="0" borderId="0" xfId="0" applyNumberFormat="1" applyFont="1" applyFill="1" applyBorder="1"/>
    <xf numFmtId="3" fontId="0" fillId="2" borderId="0" xfId="0" applyNumberFormat="1" applyFill="1"/>
    <xf numFmtId="1" fontId="8" fillId="0" borderId="17" xfId="0" applyNumberFormat="1" applyFont="1" applyBorder="1" applyAlignment="1">
      <alignment horizontal="center" vertical="center"/>
    </xf>
    <xf numFmtId="1" fontId="8" fillId="0" borderId="18" xfId="0" applyNumberFormat="1" applyFont="1" applyBorder="1" applyAlignment="1">
      <alignment horizontal="center" vertical="center"/>
    </xf>
    <xf numFmtId="1" fontId="8" fillId="0" borderId="12" xfId="0" applyNumberFormat="1" applyFont="1" applyBorder="1" applyAlignment="1">
      <alignment horizontal="center" vertical="center"/>
    </xf>
    <xf numFmtId="1" fontId="8" fillId="0" borderId="0" xfId="0" applyNumberFormat="1" applyFont="1" applyBorder="1" applyAlignment="1">
      <alignment horizontal="center" vertical="center"/>
    </xf>
    <xf numFmtId="1" fontId="8" fillId="0" borderId="13" xfId="0" applyNumberFormat="1" applyFont="1" applyBorder="1" applyAlignment="1">
      <alignment horizontal="center" vertical="center"/>
    </xf>
    <xf numFmtId="3" fontId="8" fillId="0" borderId="0" xfId="0" applyNumberFormat="1" applyFont="1" applyBorder="1"/>
    <xf numFmtId="10" fontId="8" fillId="0" borderId="0" xfId="0" applyNumberFormat="1" applyFont="1" applyBorder="1" applyAlignment="1">
      <alignment horizontal="center" vertical="center"/>
    </xf>
    <xf numFmtId="1" fontId="8" fillId="0" borderId="0" xfId="0" applyNumberFormat="1" applyFont="1" applyBorder="1" applyAlignment="1">
      <alignment vertical="center"/>
    </xf>
    <xf numFmtId="1" fontId="8" fillId="0" borderId="13" xfId="0" applyNumberFormat="1" applyFont="1" applyBorder="1" applyAlignment="1">
      <alignment horizontal="center" vertical="center" wrapText="1"/>
    </xf>
    <xf numFmtId="3" fontId="6" fillId="0" borderId="0" xfId="0" applyNumberFormat="1" applyFont="1" applyAlignment="1" applyProtection="1">
      <alignment vertical="center"/>
    </xf>
    <xf numFmtId="3" fontId="0" fillId="0" borderId="0" xfId="0" applyNumberFormat="1" applyAlignment="1" applyProtection="1">
      <alignment vertical="center"/>
    </xf>
    <xf numFmtId="165" fontId="6" fillId="0" borderId="0" xfId="0" applyNumberFormat="1" applyFont="1" applyAlignment="1" applyProtection="1">
      <alignment vertical="center"/>
    </xf>
    <xf numFmtId="1" fontId="8" fillId="3" borderId="0" xfId="0" applyNumberFormat="1" applyFont="1" applyFill="1" applyAlignment="1">
      <alignment vertical="center"/>
    </xf>
    <xf numFmtId="3" fontId="8" fillId="0" borderId="0" xfId="0" applyNumberFormat="1" applyFont="1" applyAlignment="1">
      <alignment vertical="center"/>
    </xf>
    <xf numFmtId="1" fontId="8" fillId="0" borderId="0" xfId="0" applyNumberFormat="1" applyFont="1" applyAlignment="1">
      <alignment vertical="center"/>
    </xf>
    <xf numFmtId="1" fontId="0" fillId="0" borderId="0" xfId="0" applyNumberFormat="1" applyAlignment="1">
      <alignment vertical="center"/>
    </xf>
    <xf numFmtId="10" fontId="8" fillId="0" borderId="0" xfId="0" applyNumberFormat="1" applyFont="1" applyAlignment="1">
      <alignment vertical="center"/>
    </xf>
    <xf numFmtId="1" fontId="2" fillId="0" borderId="0" xfId="0" applyNumberFormat="1" applyFont="1" applyAlignment="1">
      <alignment vertical="center"/>
    </xf>
    <xf numFmtId="2" fontId="8" fillId="0" borderId="0" xfId="0" applyNumberFormat="1" applyFont="1" applyAlignment="1">
      <alignment vertical="center"/>
    </xf>
    <xf numFmtId="1" fontId="8" fillId="0" borderId="0" xfId="0" applyNumberFormat="1" applyFont="1" applyFill="1" applyAlignment="1">
      <alignment horizontal="right" vertical="center"/>
    </xf>
    <xf numFmtId="1" fontId="8" fillId="3" borderId="0" xfId="0" applyNumberFormat="1" applyFont="1" applyFill="1" applyBorder="1" applyAlignment="1">
      <alignment vertical="center"/>
    </xf>
    <xf numFmtId="3" fontId="8" fillId="3" borderId="0" xfId="0" applyNumberFormat="1" applyFont="1" applyFill="1" applyAlignment="1">
      <alignment vertical="center"/>
    </xf>
    <xf numFmtId="1" fontId="8" fillId="0" borderId="0" xfId="0" applyNumberFormat="1" applyFont="1" applyFill="1" applyBorder="1" applyAlignment="1">
      <alignment vertical="center"/>
    </xf>
    <xf numFmtId="1" fontId="5" fillId="0" borderId="0" xfId="0" applyNumberFormat="1" applyFont="1" applyAlignment="1">
      <alignment vertical="center"/>
    </xf>
    <xf numFmtId="3" fontId="5" fillId="0" borderId="0" xfId="0" applyNumberFormat="1" applyFont="1" applyAlignment="1">
      <alignment vertical="center"/>
    </xf>
    <xf numFmtId="3" fontId="2" fillId="0" borderId="0" xfId="0" applyNumberFormat="1" applyFont="1" applyAlignment="1">
      <alignment vertical="center"/>
    </xf>
    <xf numFmtId="3" fontId="8" fillId="0" borderId="0" xfId="0" applyNumberFormat="1" applyFont="1" applyAlignment="1">
      <alignment horizontal="center" vertical="center"/>
    </xf>
    <xf numFmtId="3" fontId="8" fillId="0" borderId="0" xfId="0" applyNumberFormat="1" applyFont="1" applyFill="1" applyAlignment="1">
      <alignment vertical="center"/>
    </xf>
    <xf numFmtId="3" fontId="2" fillId="0" borderId="0" xfId="0" applyNumberFormat="1" applyFont="1" applyFill="1" applyBorder="1" applyAlignment="1">
      <alignment vertical="center"/>
    </xf>
    <xf numFmtId="3" fontId="8" fillId="0" borderId="0" xfId="0" applyNumberFormat="1" applyFont="1" applyFill="1" applyBorder="1" applyAlignment="1">
      <alignment vertical="center"/>
    </xf>
    <xf numFmtId="1" fontId="8" fillId="0" borderId="18" xfId="0" applyNumberFormat="1" applyFont="1" applyBorder="1" applyAlignment="1">
      <alignment vertical="center"/>
    </xf>
    <xf numFmtId="1" fontId="8" fillId="0" borderId="16" xfId="0" applyNumberFormat="1" applyFont="1" applyBorder="1" applyAlignment="1">
      <alignment vertical="center"/>
    </xf>
    <xf numFmtId="1" fontId="8" fillId="0" borderId="12" xfId="0" applyNumberFormat="1" applyFont="1" applyBorder="1" applyAlignment="1">
      <alignment vertical="center"/>
    </xf>
    <xf numFmtId="1" fontId="8" fillId="0" borderId="13" xfId="0" applyNumberFormat="1" applyFont="1" applyBorder="1" applyAlignment="1">
      <alignment vertical="center"/>
    </xf>
    <xf numFmtId="1" fontId="0" fillId="0" borderId="12" xfId="0" applyNumberFormat="1" applyBorder="1" applyAlignment="1">
      <alignment vertical="center"/>
    </xf>
    <xf numFmtId="10" fontId="8" fillId="0" borderId="0" xfId="0" applyNumberFormat="1" applyFont="1" applyBorder="1" applyAlignment="1">
      <alignment vertical="center"/>
    </xf>
    <xf numFmtId="1" fontId="8" fillId="0" borderId="0" xfId="0" applyNumberFormat="1" applyFont="1" applyBorder="1" applyAlignment="1">
      <alignment horizontal="right" vertical="center"/>
    </xf>
    <xf numFmtId="3" fontId="0" fillId="0" borderId="5" xfId="0" applyNumberFormat="1" applyBorder="1" applyAlignment="1">
      <alignment vertical="center"/>
    </xf>
    <xf numFmtId="1" fontId="0" fillId="0" borderId="13" xfId="0" applyNumberFormat="1" applyBorder="1" applyAlignment="1">
      <alignment vertical="center"/>
    </xf>
    <xf numFmtId="1" fontId="8" fillId="0" borderId="14" xfId="0" applyNumberFormat="1" applyFont="1" applyBorder="1" applyAlignment="1">
      <alignment vertical="center"/>
    </xf>
    <xf numFmtId="1" fontId="8" fillId="0" borderId="19" xfId="0" applyNumberFormat="1" applyFont="1" applyBorder="1" applyAlignment="1">
      <alignment vertical="center"/>
    </xf>
    <xf numFmtId="1" fontId="8" fillId="0" borderId="15" xfId="0" applyNumberFormat="1" applyFont="1" applyBorder="1" applyAlignment="1">
      <alignment vertical="center"/>
    </xf>
    <xf numFmtId="1" fontId="8" fillId="0" borderId="17" xfId="0" applyNumberFormat="1" applyFont="1" applyBorder="1" applyAlignment="1">
      <alignment vertical="center"/>
    </xf>
    <xf numFmtId="1" fontId="8" fillId="0" borderId="56" xfId="0" applyNumberFormat="1" applyFont="1" applyBorder="1" applyAlignment="1">
      <alignment vertical="center"/>
    </xf>
    <xf numFmtId="1" fontId="8" fillId="0" borderId="0" xfId="0" applyNumberFormat="1" applyFont="1" applyFill="1" applyBorder="1" applyAlignment="1">
      <alignment horizontal="right" vertical="center"/>
    </xf>
    <xf numFmtId="3" fontId="8" fillId="0" borderId="0" xfId="0" applyNumberFormat="1" applyFont="1" applyBorder="1" applyAlignment="1">
      <alignment vertical="center"/>
    </xf>
    <xf numFmtId="3" fontId="8" fillId="0" borderId="13" xfId="0" applyNumberFormat="1" applyFont="1" applyBorder="1" applyAlignment="1">
      <alignment vertical="center"/>
    </xf>
    <xf numFmtId="1" fontId="8" fillId="3" borderId="0" xfId="0" applyNumberFormat="1" applyFont="1" applyFill="1" applyBorder="1" applyAlignment="1">
      <alignment horizontal="center" vertical="center"/>
    </xf>
    <xf numFmtId="3" fontId="8" fillId="3" borderId="13" xfId="0" applyNumberFormat="1" applyFont="1" applyFill="1" applyBorder="1" applyAlignment="1">
      <alignment vertical="center"/>
    </xf>
    <xf numFmtId="3" fontId="8" fillId="0" borderId="12" xfId="0" applyNumberFormat="1" applyFont="1" applyFill="1" applyBorder="1" applyAlignment="1">
      <alignment vertical="center"/>
    </xf>
    <xf numFmtId="3" fontId="8" fillId="3" borderId="0" xfId="0" applyNumberFormat="1" applyFont="1" applyFill="1" applyBorder="1" applyAlignment="1">
      <alignment vertical="center"/>
    </xf>
    <xf numFmtId="166" fontId="8" fillId="0" borderId="0" xfId="0" applyNumberFormat="1" applyFont="1" applyBorder="1" applyAlignment="1">
      <alignment horizontal="right" vertical="center"/>
    </xf>
    <xf numFmtId="1" fontId="0" fillId="0" borderId="14" xfId="0" applyNumberFormat="1" applyBorder="1" applyAlignment="1">
      <alignment vertical="center"/>
    </xf>
    <xf numFmtId="1" fontId="0" fillId="0" borderId="19" xfId="0" applyNumberFormat="1" applyBorder="1" applyAlignment="1">
      <alignment vertical="center"/>
    </xf>
    <xf numFmtId="1" fontId="0" fillId="0" borderId="15" xfId="0" applyNumberFormat="1" applyBorder="1" applyAlignment="1">
      <alignment vertical="center"/>
    </xf>
    <xf numFmtId="1" fontId="8" fillId="0" borderId="5" xfId="0" applyNumberFormat="1" applyFont="1" applyBorder="1" applyAlignment="1">
      <alignment vertical="center"/>
    </xf>
    <xf numFmtId="1" fontId="0" fillId="0" borderId="18" xfId="0" applyNumberFormat="1" applyBorder="1" applyAlignment="1">
      <alignment vertical="center"/>
    </xf>
    <xf numFmtId="1" fontId="0" fillId="0" borderId="16" xfId="0" applyNumberFormat="1" applyBorder="1" applyAlignment="1">
      <alignment vertical="center"/>
    </xf>
    <xf numFmtId="1" fontId="8" fillId="0" borderId="12" xfId="0" applyNumberFormat="1" applyFont="1" applyBorder="1" applyAlignment="1">
      <alignment horizontal="left" vertical="center"/>
    </xf>
    <xf numFmtId="1" fontId="8" fillId="0" borderId="0" xfId="0" applyNumberFormat="1" applyFont="1" applyBorder="1" applyAlignment="1">
      <alignment horizontal="left" vertical="center"/>
    </xf>
    <xf numFmtId="3" fontId="8" fillId="0" borderId="0" xfId="0" applyNumberFormat="1" applyFont="1" applyBorder="1" applyAlignment="1">
      <alignment horizontal="right" vertical="center"/>
    </xf>
    <xf numFmtId="10" fontId="0" fillId="0" borderId="0" xfId="0" applyNumberFormat="1" applyBorder="1" applyAlignment="1">
      <alignment vertical="center"/>
    </xf>
    <xf numFmtId="1" fontId="0" fillId="0" borderId="0" xfId="0" applyNumberFormat="1" applyFill="1" applyBorder="1" applyAlignment="1">
      <alignment vertical="center"/>
    </xf>
    <xf numFmtId="1" fontId="0" fillId="0" borderId="0" xfId="0" applyNumberFormat="1" applyAlignment="1">
      <alignment horizontal="right" vertical="center"/>
    </xf>
    <xf numFmtId="0" fontId="8" fillId="0" borderId="0" xfId="0" applyFont="1"/>
    <xf numFmtId="3" fontId="0" fillId="6" borderId="0" xfId="0" applyNumberFormat="1" applyFill="1"/>
    <xf numFmtId="3" fontId="5" fillId="6" borderId="0" xfId="0" applyNumberFormat="1" applyFont="1" applyFill="1"/>
    <xf numFmtId="3" fontId="0" fillId="6" borderId="0" xfId="0" applyNumberFormat="1" applyFill="1" applyProtection="1"/>
    <xf numFmtId="3" fontId="8" fillId="6" borderId="0" xfId="0" applyNumberFormat="1" applyFont="1" applyFill="1" applyProtection="1"/>
    <xf numFmtId="3" fontId="8" fillId="0" borderId="0" xfId="0" applyNumberFormat="1" applyFont="1" applyAlignment="1">
      <alignment horizontal="center" vertical="center" wrapText="1"/>
    </xf>
    <xf numFmtId="3" fontId="0" fillId="0" borderId="0" xfId="0" applyNumberFormat="1" applyAlignment="1">
      <alignment horizontal="center" vertical="center" wrapText="1"/>
    </xf>
    <xf numFmtId="3" fontId="0" fillId="6" borderId="0" xfId="0" applyNumberFormat="1" applyFill="1" applyAlignment="1">
      <alignment horizontal="center" vertical="center" wrapText="1"/>
    </xf>
    <xf numFmtId="3" fontId="5" fillId="6" borderId="0" xfId="0" applyNumberFormat="1" applyFont="1" applyFill="1" applyAlignment="1">
      <alignment horizontal="center" vertical="center" wrapText="1"/>
    </xf>
    <xf numFmtId="3" fontId="2" fillId="6" borderId="0" xfId="0" applyNumberFormat="1" applyFont="1" applyFill="1" applyAlignment="1">
      <alignment horizontal="center"/>
    </xf>
    <xf numFmtId="3" fontId="11" fillId="6" borderId="0" xfId="0" applyNumberFormat="1" applyFont="1" applyFill="1" applyAlignment="1">
      <alignment horizontal="center"/>
    </xf>
    <xf numFmtId="3" fontId="12" fillId="0" borderId="0" xfId="0" applyNumberFormat="1" applyFont="1" applyAlignment="1" applyProtection="1">
      <alignment vertical="center"/>
    </xf>
    <xf numFmtId="3" fontId="13" fillId="0" borderId="0" xfId="0" applyNumberFormat="1" applyFont="1" applyAlignment="1" applyProtection="1">
      <alignment vertical="center"/>
    </xf>
    <xf numFmtId="3" fontId="13" fillId="0" borderId="0" xfId="0" applyNumberFormat="1" applyFont="1" applyFill="1" applyAlignment="1" applyProtection="1">
      <alignment vertical="center"/>
    </xf>
    <xf numFmtId="3" fontId="14" fillId="0" borderId="0" xfId="0" applyNumberFormat="1" applyFont="1" applyBorder="1" applyAlignment="1" applyProtection="1">
      <alignment horizontal="right" vertical="center"/>
    </xf>
    <xf numFmtId="3" fontId="14" fillId="0" borderId="0" xfId="0" applyNumberFormat="1" applyFont="1" applyBorder="1" applyAlignment="1" applyProtection="1">
      <alignment vertical="center"/>
    </xf>
    <xf numFmtId="3" fontId="14" fillId="0" borderId="0" xfId="0" applyNumberFormat="1" applyFont="1" applyAlignment="1" applyProtection="1">
      <alignment vertical="center"/>
    </xf>
    <xf numFmtId="3" fontId="14" fillId="0" borderId="0" xfId="0" applyNumberFormat="1" applyFont="1" applyBorder="1" applyAlignment="1" applyProtection="1">
      <alignment horizontal="center" vertical="center"/>
    </xf>
    <xf numFmtId="3" fontId="14" fillId="0" borderId="0" xfId="0" applyNumberFormat="1" applyFont="1" applyBorder="1" applyAlignment="1" applyProtection="1">
      <alignment horizontal="centerContinuous" vertical="center"/>
    </xf>
    <xf numFmtId="3" fontId="14" fillId="0" borderId="0" xfId="0" applyNumberFormat="1" applyFont="1" applyAlignment="1" applyProtection="1">
      <alignment horizontal="centerContinuous" vertical="center"/>
    </xf>
    <xf numFmtId="3" fontId="13" fillId="0" borderId="0" xfId="0" applyNumberFormat="1" applyFont="1" applyAlignment="1" applyProtection="1">
      <alignment horizontal="centerContinuous" vertical="center"/>
    </xf>
    <xf numFmtId="3" fontId="16" fillId="0" borderId="0" xfId="0" applyNumberFormat="1" applyFont="1" applyFill="1" applyAlignment="1" applyProtection="1">
      <alignment vertical="center"/>
      <protection hidden="1"/>
    </xf>
    <xf numFmtId="3" fontId="13" fillId="0" borderId="0" xfId="0" applyNumberFormat="1" applyFont="1" applyFill="1" applyBorder="1" applyAlignment="1" applyProtection="1">
      <alignment vertical="center"/>
    </xf>
    <xf numFmtId="3" fontId="13" fillId="0" borderId="0" xfId="0" quotePrefix="1" applyNumberFormat="1" applyFont="1" applyAlignment="1" applyProtection="1">
      <alignment vertical="center"/>
    </xf>
    <xf numFmtId="3" fontId="13" fillId="0" borderId="0" xfId="0" applyNumberFormat="1" applyFont="1" applyAlignment="1" applyProtection="1">
      <alignment horizontal="center" vertical="center"/>
    </xf>
    <xf numFmtId="3" fontId="13" fillId="3" borderId="0" xfId="0" applyNumberFormat="1" applyFont="1" applyFill="1" applyAlignment="1" applyProtection="1">
      <alignment vertical="center"/>
    </xf>
    <xf numFmtId="0" fontId="18" fillId="3" borderId="18" xfId="0" applyFont="1" applyFill="1" applyBorder="1" applyAlignment="1" applyProtection="1">
      <alignment horizontal="center" vertical="center"/>
    </xf>
    <xf numFmtId="0" fontId="18" fillId="3" borderId="18" xfId="0" applyFont="1" applyFill="1" applyBorder="1" applyAlignment="1" applyProtection="1">
      <alignment vertical="center"/>
    </xf>
    <xf numFmtId="0" fontId="18" fillId="3" borderId="16" xfId="0" applyFont="1" applyFill="1" applyBorder="1" applyAlignment="1" applyProtection="1">
      <alignment vertical="center"/>
    </xf>
    <xf numFmtId="0" fontId="18" fillId="3" borderId="12" xfId="0" applyFont="1" applyFill="1" applyBorder="1" applyAlignment="1" applyProtection="1">
      <alignment vertical="center"/>
    </xf>
    <xf numFmtId="0" fontId="18" fillId="3" borderId="14" xfId="0" applyFont="1" applyFill="1" applyBorder="1" applyAlignment="1" applyProtection="1">
      <alignment vertical="center"/>
    </xf>
    <xf numFmtId="0" fontId="18" fillId="3" borderId="19" xfId="0" applyFont="1" applyFill="1" applyBorder="1" applyAlignment="1" applyProtection="1">
      <alignment horizontal="center" vertical="center"/>
    </xf>
    <xf numFmtId="167" fontId="18" fillId="3" borderId="19" xfId="0" applyNumberFormat="1" applyFont="1" applyFill="1" applyBorder="1" applyAlignment="1" applyProtection="1">
      <alignment vertical="center"/>
    </xf>
    <xf numFmtId="0" fontId="18" fillId="3" borderId="19" xfId="0" applyFont="1" applyFill="1" applyBorder="1" applyAlignment="1" applyProtection="1">
      <alignment vertical="center"/>
    </xf>
    <xf numFmtId="168" fontId="18" fillId="3" borderId="15" xfId="0" applyNumberFormat="1" applyFont="1" applyFill="1" applyBorder="1" applyAlignment="1" applyProtection="1">
      <alignment vertical="center"/>
    </xf>
    <xf numFmtId="3" fontId="12" fillId="3" borderId="0" xfId="0" applyNumberFormat="1" applyFont="1" applyFill="1" applyAlignment="1" applyProtection="1">
      <alignment vertical="center"/>
    </xf>
    <xf numFmtId="3" fontId="25" fillId="3" borderId="0" xfId="0" applyNumberFormat="1" applyFont="1" applyFill="1" applyAlignment="1" applyProtection="1">
      <alignment vertical="center"/>
    </xf>
    <xf numFmtId="3" fontId="23" fillId="3" borderId="0" xfId="0" applyNumberFormat="1" applyFont="1" applyFill="1" applyAlignment="1" applyProtection="1">
      <alignment vertical="center"/>
    </xf>
    <xf numFmtId="3" fontId="13" fillId="0" borderId="0" xfId="0" applyNumberFormat="1" applyFont="1" applyFill="1" applyAlignment="1" applyProtection="1">
      <alignment vertical="center"/>
      <protection locked="0"/>
    </xf>
    <xf numFmtId="1" fontId="12" fillId="3" borderId="0" xfId="0" applyNumberFormat="1" applyFont="1" applyFill="1" applyAlignment="1" applyProtection="1">
      <alignment vertical="center"/>
    </xf>
    <xf numFmtId="3" fontId="26" fillId="0" borderId="0" xfId="0" applyNumberFormat="1" applyFont="1" applyFill="1" applyAlignment="1" applyProtection="1">
      <alignment vertical="center"/>
    </xf>
    <xf numFmtId="3" fontId="13" fillId="0" borderId="0" xfId="0" applyNumberFormat="1" applyFont="1" applyBorder="1" applyAlignment="1" applyProtection="1">
      <alignment vertical="center"/>
    </xf>
    <xf numFmtId="3" fontId="13" fillId="0" borderId="19" xfId="0" applyNumberFormat="1" applyFont="1" applyBorder="1" applyAlignment="1" applyProtection="1">
      <alignment vertical="center"/>
    </xf>
    <xf numFmtId="3" fontId="27" fillId="0" borderId="0" xfId="0" applyNumberFormat="1" applyFont="1" applyAlignment="1" applyProtection="1">
      <alignment vertical="center"/>
    </xf>
    <xf numFmtId="165" fontId="13" fillId="0" borderId="0" xfId="0" applyNumberFormat="1" applyFont="1" applyAlignment="1" applyProtection="1">
      <alignment vertical="center"/>
    </xf>
    <xf numFmtId="3" fontId="28" fillId="0" borderId="0" xfId="0" applyNumberFormat="1" applyFont="1" applyAlignment="1" applyProtection="1">
      <alignment vertical="center"/>
    </xf>
    <xf numFmtId="3" fontId="29" fillId="0" borderId="0" xfId="0" applyNumberFormat="1" applyFont="1" applyAlignment="1" applyProtection="1">
      <alignment horizontal="center" vertical="center"/>
    </xf>
    <xf numFmtId="3" fontId="29" fillId="0" borderId="0" xfId="0" quotePrefix="1" applyNumberFormat="1" applyFont="1" applyAlignment="1" applyProtection="1">
      <alignment horizontal="center" vertical="center"/>
    </xf>
    <xf numFmtId="3" fontId="13" fillId="0" borderId="0" xfId="0" applyNumberFormat="1" applyFont="1" applyAlignment="1" applyProtection="1">
      <alignment horizontal="right" vertical="center"/>
    </xf>
    <xf numFmtId="3" fontId="30" fillId="0" borderId="0" xfId="0" quotePrefix="1" applyNumberFormat="1" applyFont="1" applyAlignment="1" applyProtection="1">
      <alignment horizontal="center" vertical="center"/>
    </xf>
    <xf numFmtId="3" fontId="12" fillId="0" borderId="0" xfId="0" applyNumberFormat="1" applyFont="1" applyFill="1" applyAlignment="1" applyProtection="1">
      <alignment vertical="center"/>
    </xf>
    <xf numFmtId="3" fontId="13" fillId="0" borderId="0" xfId="0" applyNumberFormat="1" applyFont="1" applyFill="1" applyAlignment="1" applyProtection="1">
      <alignment horizontal="center" vertical="center"/>
    </xf>
    <xf numFmtId="3" fontId="34" fillId="0" borderId="0" xfId="0" applyNumberFormat="1" applyFont="1" applyAlignment="1" applyProtection="1">
      <alignment vertical="center"/>
    </xf>
    <xf numFmtId="0" fontId="33" fillId="0" borderId="0" xfId="0" applyFont="1" applyBorder="1" applyAlignment="1" applyProtection="1">
      <alignment horizontal="center" vertical="center"/>
    </xf>
    <xf numFmtId="0" fontId="35" fillId="0" borderId="0" xfId="0" applyFont="1" applyAlignment="1">
      <alignment horizontal="center"/>
    </xf>
    <xf numFmtId="0" fontId="12" fillId="0" borderId="0" xfId="0" applyFont="1" applyBorder="1" applyAlignment="1" applyProtection="1">
      <alignment vertical="center"/>
    </xf>
    <xf numFmtId="0" fontId="25" fillId="0" borderId="0" xfId="0" applyFont="1" applyBorder="1" applyAlignment="1" applyProtection="1">
      <alignment horizontal="right" vertical="center"/>
    </xf>
    <xf numFmtId="0" fontId="19" fillId="0" borderId="0" xfId="0" applyFont="1" applyBorder="1" applyAlignment="1" applyProtection="1">
      <alignment horizontal="center" vertical="center"/>
    </xf>
    <xf numFmtId="0" fontId="21" fillId="0" borderId="0" xfId="0" applyFont="1" applyBorder="1" applyAlignment="1" applyProtection="1">
      <alignment horizontal="center" vertical="center"/>
    </xf>
    <xf numFmtId="0" fontId="12" fillId="0" borderId="7" xfId="0" applyFont="1" applyBorder="1" applyAlignment="1" applyProtection="1">
      <alignment vertical="center"/>
    </xf>
    <xf numFmtId="0" fontId="12" fillId="0" borderId="63" xfId="0" applyFont="1" applyBorder="1" applyAlignment="1" applyProtection="1">
      <alignment horizontal="center" vertical="center"/>
    </xf>
    <xf numFmtId="0" fontId="12" fillId="0" borderId="5" xfId="0" applyFont="1" applyBorder="1" applyAlignment="1" applyProtection="1">
      <alignment vertical="center"/>
    </xf>
    <xf numFmtId="0" fontId="12" fillId="0" borderId="13" xfId="0" applyFont="1" applyBorder="1" applyAlignment="1" applyProtection="1">
      <alignment vertical="center"/>
    </xf>
    <xf numFmtId="0" fontId="12" fillId="0" borderId="25" xfId="0" applyFont="1" applyBorder="1" applyAlignment="1" applyProtection="1">
      <alignment vertical="center"/>
    </xf>
    <xf numFmtId="0" fontId="12" fillId="0" borderId="15" xfId="0" applyFont="1" applyBorder="1" applyAlignment="1" applyProtection="1">
      <alignment vertical="center"/>
    </xf>
    <xf numFmtId="0" fontId="12" fillId="0" borderId="0" xfId="0" applyFont="1" applyAlignment="1" applyProtection="1">
      <alignment vertical="center"/>
    </xf>
    <xf numFmtId="0" fontId="12" fillId="0" borderId="38" xfId="0" applyFont="1" applyBorder="1" applyAlignment="1" applyProtection="1">
      <alignment vertical="center"/>
    </xf>
    <xf numFmtId="0" fontId="12" fillId="0" borderId="29" xfId="0" applyFont="1" applyBorder="1" applyAlignment="1" applyProtection="1">
      <alignment vertical="center"/>
    </xf>
    <xf numFmtId="0" fontId="12" fillId="0" borderId="41" xfId="0" applyFont="1" applyBorder="1" applyAlignment="1" applyProtection="1">
      <alignment vertical="center"/>
    </xf>
    <xf numFmtId="0" fontId="12" fillId="0" borderId="43" xfId="0" applyFont="1" applyBorder="1" applyAlignment="1" applyProtection="1">
      <alignment vertical="center"/>
    </xf>
    <xf numFmtId="0" fontId="12" fillId="0" borderId="44" xfId="0" applyFont="1" applyBorder="1" applyAlignment="1" applyProtection="1">
      <alignment vertical="center"/>
    </xf>
    <xf numFmtId="0" fontId="12" fillId="0" borderId="47" xfId="0" applyFont="1" applyBorder="1" applyAlignment="1" applyProtection="1">
      <alignment vertical="center"/>
    </xf>
    <xf numFmtId="0" fontId="12" fillId="0" borderId="48" xfId="0" applyFont="1" applyBorder="1" applyAlignment="1" applyProtection="1">
      <alignment vertical="center"/>
    </xf>
    <xf numFmtId="0" fontId="12" fillId="0" borderId="0" xfId="0" applyFont="1" applyBorder="1" applyAlignment="1" applyProtection="1">
      <alignment horizontal="center" vertical="center"/>
    </xf>
    <xf numFmtId="0" fontId="12" fillId="0" borderId="26" xfId="0" applyFont="1" applyBorder="1" applyAlignment="1" applyProtection="1">
      <alignment vertical="center"/>
    </xf>
    <xf numFmtId="0" fontId="12" fillId="0" borderId="51" xfId="0" applyFont="1" applyBorder="1" applyAlignment="1" applyProtection="1">
      <alignment vertical="center"/>
    </xf>
    <xf numFmtId="3" fontId="23" fillId="0" borderId="0" xfId="0" applyNumberFormat="1" applyFont="1" applyBorder="1" applyAlignment="1" applyProtection="1">
      <alignment vertical="center"/>
    </xf>
    <xf numFmtId="0" fontId="25" fillId="0" borderId="0" xfId="0" applyFont="1" applyAlignment="1" applyProtection="1">
      <alignment vertical="center"/>
    </xf>
    <xf numFmtId="0" fontId="25" fillId="0" borderId="0" xfId="0" applyFont="1" applyAlignment="1" applyProtection="1">
      <alignment vertical="center" wrapText="1"/>
    </xf>
    <xf numFmtId="0" fontId="12" fillId="0" borderId="52" xfId="0" applyFont="1" applyBorder="1" applyAlignment="1" applyProtection="1">
      <alignment vertical="center"/>
    </xf>
    <xf numFmtId="0" fontId="12" fillId="0" borderId="53" xfId="0" applyFont="1" applyBorder="1" applyAlignment="1" applyProtection="1">
      <alignment vertical="center"/>
    </xf>
    <xf numFmtId="0" fontId="33" fillId="0" borderId="0" xfId="0" applyFont="1" applyAlignment="1" applyProtection="1">
      <alignment vertical="center"/>
    </xf>
    <xf numFmtId="0" fontId="12" fillId="0" borderId="54" xfId="0" applyFont="1" applyBorder="1" applyAlignment="1" applyProtection="1">
      <alignment vertical="center"/>
    </xf>
    <xf numFmtId="0" fontId="12" fillId="0" borderId="18" xfId="0" applyFont="1" applyBorder="1" applyAlignment="1" applyProtection="1">
      <alignment vertical="center"/>
    </xf>
    <xf numFmtId="0" fontId="12" fillId="0" borderId="56" xfId="0" applyFont="1" applyBorder="1" applyAlignment="1" applyProtection="1">
      <alignment vertical="center"/>
    </xf>
    <xf numFmtId="0" fontId="12" fillId="0" borderId="1" xfId="0" applyFont="1" applyBorder="1" applyAlignment="1" applyProtection="1">
      <alignment vertical="center"/>
    </xf>
    <xf numFmtId="3" fontId="19" fillId="0" borderId="0" xfId="0" applyNumberFormat="1" applyFont="1" applyBorder="1" applyAlignment="1" applyProtection="1">
      <alignment vertical="center"/>
    </xf>
    <xf numFmtId="0" fontId="12" fillId="0" borderId="59" xfId="0" applyFont="1" applyBorder="1" applyAlignment="1" applyProtection="1">
      <alignment vertical="center"/>
    </xf>
    <xf numFmtId="0" fontId="12" fillId="0" borderId="60" xfId="0" applyFont="1" applyBorder="1" applyAlignment="1" applyProtection="1">
      <alignment vertical="center"/>
    </xf>
    <xf numFmtId="0" fontId="33" fillId="0" borderId="0" xfId="0" applyFont="1" applyAlignment="1" applyProtection="1">
      <alignment horizontal="center" vertical="center"/>
    </xf>
    <xf numFmtId="0" fontId="24" fillId="0" borderId="0" xfId="0" applyFont="1" applyBorder="1" applyAlignment="1" applyProtection="1">
      <alignment horizontal="center" vertical="center"/>
    </xf>
    <xf numFmtId="3" fontId="25" fillId="0" borderId="0" xfId="0" applyNumberFormat="1" applyFont="1" applyBorder="1" applyAlignment="1" applyProtection="1">
      <alignment vertical="center"/>
    </xf>
    <xf numFmtId="3" fontId="12" fillId="0" borderId="72" xfId="0" applyNumberFormat="1" applyFont="1" applyBorder="1" applyAlignment="1" applyProtection="1">
      <alignment vertical="center"/>
    </xf>
    <xf numFmtId="0" fontId="18" fillId="0" borderId="0" xfId="0" applyFont="1" applyBorder="1" applyAlignment="1" applyProtection="1">
      <alignment horizontal="center" vertical="center"/>
    </xf>
    <xf numFmtId="0" fontId="18" fillId="0" borderId="3" xfId="0" applyFont="1" applyFill="1" applyBorder="1" applyAlignment="1" applyProtection="1">
      <alignment horizontal="center" vertical="center"/>
    </xf>
    <xf numFmtId="0" fontId="22" fillId="0" borderId="0" xfId="0" applyFont="1" applyBorder="1" applyAlignment="1" applyProtection="1">
      <alignment horizontal="center" vertical="center" wrapText="1"/>
    </xf>
    <xf numFmtId="3" fontId="21" fillId="0" borderId="0" xfId="0" applyNumberFormat="1" applyFont="1" applyBorder="1" applyAlignment="1" applyProtection="1">
      <alignment vertical="center"/>
    </xf>
    <xf numFmtId="0" fontId="14" fillId="0" borderId="0" xfId="0" applyFont="1" applyAlignment="1" applyProtection="1">
      <alignment vertical="center"/>
    </xf>
    <xf numFmtId="0" fontId="13" fillId="0" borderId="0" xfId="0" applyFont="1" applyAlignment="1" applyProtection="1">
      <alignment vertical="center"/>
    </xf>
    <xf numFmtId="3" fontId="12" fillId="0" borderId="0" xfId="0" applyNumberFormat="1" applyFont="1" applyBorder="1" applyAlignment="1" applyProtection="1">
      <alignment vertical="center"/>
    </xf>
    <xf numFmtId="0" fontId="18" fillId="0" borderId="0" xfId="0" applyFont="1" applyFill="1" applyBorder="1" applyAlignment="1" applyProtection="1">
      <alignment horizontal="center" vertical="center"/>
    </xf>
    <xf numFmtId="3" fontId="38" fillId="0" borderId="0" xfId="0" applyNumberFormat="1" applyFont="1" applyAlignment="1" applyProtection="1">
      <alignment vertical="center"/>
    </xf>
    <xf numFmtId="3" fontId="27" fillId="0" borderId="0" xfId="0" applyNumberFormat="1" applyFont="1" applyBorder="1" applyAlignment="1" applyProtection="1">
      <alignment vertical="center"/>
    </xf>
    <xf numFmtId="1" fontId="13" fillId="0" borderId="0" xfId="0" applyNumberFormat="1" applyFont="1" applyBorder="1" applyAlignment="1" applyProtection="1">
      <alignment vertical="center"/>
    </xf>
    <xf numFmtId="3" fontId="13" fillId="0" borderId="19" xfId="0" applyNumberFormat="1" applyFont="1" applyFill="1" applyBorder="1" applyAlignment="1" applyProtection="1">
      <alignment vertical="center"/>
    </xf>
    <xf numFmtId="3" fontId="32" fillId="0" borderId="0" xfId="0" applyNumberFormat="1" applyFont="1" applyAlignment="1" applyProtection="1">
      <alignment horizontal="left" vertical="center"/>
    </xf>
    <xf numFmtId="3" fontId="32" fillId="0" borderId="0" xfId="0" applyNumberFormat="1" applyFont="1" applyBorder="1" applyAlignment="1" applyProtection="1">
      <alignment vertical="center"/>
    </xf>
    <xf numFmtId="10" fontId="14" fillId="0" borderId="0" xfId="0" applyNumberFormat="1" applyFont="1" applyAlignment="1" applyProtection="1">
      <alignment vertical="center"/>
    </xf>
    <xf numFmtId="9" fontId="13" fillId="0" borderId="0" xfId="0" applyNumberFormat="1" applyFont="1" applyAlignment="1" applyProtection="1">
      <alignment vertical="center"/>
    </xf>
    <xf numFmtId="0" fontId="14" fillId="0" borderId="0" xfId="0" applyFont="1" applyFill="1" applyAlignment="1" applyProtection="1">
      <alignment vertical="center"/>
    </xf>
    <xf numFmtId="0" fontId="12" fillId="0" borderId="0" xfId="0" applyFont="1" applyFill="1" applyAlignment="1" applyProtection="1">
      <alignment vertical="center"/>
    </xf>
    <xf numFmtId="3" fontId="14" fillId="0" borderId="0" xfId="0" applyNumberFormat="1" applyFont="1" applyFill="1" applyBorder="1" applyAlignment="1" applyProtection="1">
      <alignment vertical="center"/>
    </xf>
    <xf numFmtId="3" fontId="12" fillId="0" borderId="0" xfId="0" applyNumberFormat="1" applyFont="1" applyFill="1" applyBorder="1" applyAlignment="1" applyProtection="1">
      <alignment vertical="center"/>
    </xf>
    <xf numFmtId="3" fontId="33" fillId="0" borderId="0" xfId="0" applyNumberFormat="1" applyFont="1" applyFill="1" applyBorder="1" applyAlignment="1" applyProtection="1">
      <alignment vertical="center"/>
    </xf>
    <xf numFmtId="3" fontId="40" fillId="0" borderId="0" xfId="0" applyNumberFormat="1" applyFont="1" applyAlignment="1" applyProtection="1">
      <alignment vertical="center"/>
    </xf>
    <xf numFmtId="3" fontId="33" fillId="0" borderId="0" xfId="0" applyNumberFormat="1" applyFont="1" applyBorder="1" applyAlignment="1" applyProtection="1">
      <alignment vertical="center"/>
    </xf>
    <xf numFmtId="3" fontId="40" fillId="0" borderId="0" xfId="0" applyNumberFormat="1" applyFont="1" applyBorder="1" applyAlignment="1" applyProtection="1">
      <alignment vertical="center"/>
    </xf>
    <xf numFmtId="3" fontId="13" fillId="0" borderId="0" xfId="0" applyNumberFormat="1" applyFont="1" applyAlignment="1" applyProtection="1">
      <alignment horizontal="left" vertical="center" indent="2"/>
    </xf>
    <xf numFmtId="3" fontId="12" fillId="3" borderId="0" xfId="0" applyNumberFormat="1" applyFont="1" applyFill="1" applyBorder="1" applyAlignment="1" applyProtection="1">
      <alignment vertical="center"/>
    </xf>
    <xf numFmtId="3" fontId="13" fillId="3" borderId="0" xfId="0" applyNumberFormat="1" applyFont="1" applyFill="1" applyBorder="1" applyAlignment="1" applyProtection="1">
      <alignment vertical="center"/>
    </xf>
    <xf numFmtId="170" fontId="14" fillId="0" borderId="0" xfId="0" applyNumberFormat="1" applyFont="1" applyAlignment="1" applyProtection="1">
      <alignment horizontal="center" vertical="center"/>
    </xf>
    <xf numFmtId="3" fontId="14" fillId="0" borderId="0" xfId="0" applyNumberFormat="1" applyFont="1" applyAlignment="1" applyProtection="1">
      <alignment horizontal="left" vertical="center" indent="2"/>
    </xf>
    <xf numFmtId="3" fontId="32" fillId="0" borderId="0" xfId="0" applyNumberFormat="1" applyFont="1" applyAlignment="1" applyProtection="1">
      <alignment horizontal="left" vertical="center" indent="2"/>
    </xf>
    <xf numFmtId="3" fontId="27" fillId="0" borderId="0" xfId="0" applyNumberFormat="1" applyFont="1" applyAlignment="1" applyProtection="1">
      <alignment horizontal="left" vertical="center" indent="2"/>
    </xf>
    <xf numFmtId="3" fontId="12" fillId="0" borderId="0" xfId="0" applyNumberFormat="1" applyFont="1" applyAlignment="1" applyProtection="1">
      <alignment horizontal="left" vertical="center" indent="2"/>
    </xf>
    <xf numFmtId="3" fontId="31" fillId="0" borderId="0" xfId="0" applyNumberFormat="1" applyFont="1" applyAlignment="1" applyProtection="1">
      <alignment horizontal="left" vertical="center" indent="2"/>
    </xf>
    <xf numFmtId="3" fontId="13" fillId="0" borderId="0" xfId="0" applyNumberFormat="1" applyFont="1" applyAlignment="1" applyProtection="1">
      <alignment horizontal="left" vertical="center"/>
    </xf>
    <xf numFmtId="3" fontId="13" fillId="0" borderId="0" xfId="0" applyNumberFormat="1" applyFont="1" applyFill="1" applyAlignment="1" applyProtection="1">
      <alignment horizontal="left" vertical="center"/>
    </xf>
    <xf numFmtId="3" fontId="12" fillId="0" borderId="0" xfId="0" applyNumberFormat="1" applyFont="1" applyAlignment="1" applyProtection="1">
      <alignment horizontal="left" vertical="center"/>
    </xf>
    <xf numFmtId="0" fontId="33" fillId="0" borderId="0" xfId="0" applyFont="1" applyAlignment="1" applyProtection="1">
      <alignment horizontal="left" vertical="center"/>
    </xf>
    <xf numFmtId="0" fontId="18" fillId="0" borderId="3" xfId="0" applyFont="1" applyFill="1" applyBorder="1" applyAlignment="1" applyProtection="1">
      <alignment horizontal="left" vertical="center"/>
    </xf>
    <xf numFmtId="0" fontId="25" fillId="0" borderId="0" xfId="0" applyFont="1" applyBorder="1" applyAlignment="1" applyProtection="1">
      <alignment horizontal="left" vertical="center"/>
    </xf>
    <xf numFmtId="0" fontId="12" fillId="0" borderId="0" xfId="0" applyFont="1" applyFill="1" applyBorder="1" applyAlignment="1" applyProtection="1">
      <alignment vertical="center"/>
    </xf>
    <xf numFmtId="3" fontId="13" fillId="0" borderId="0" xfId="0" applyNumberFormat="1" applyFont="1" applyAlignment="1" applyProtection="1">
      <alignment horizontal="left" vertical="center" indent="3"/>
    </xf>
    <xf numFmtId="3" fontId="32" fillId="0" borderId="0" xfId="0" applyNumberFormat="1" applyFont="1" applyFill="1" applyBorder="1" applyAlignment="1" applyProtection="1">
      <alignment vertical="center"/>
    </xf>
    <xf numFmtId="1" fontId="14" fillId="0" borderId="0" xfId="0" applyNumberFormat="1" applyFont="1" applyFill="1" applyBorder="1" applyAlignment="1" applyProtection="1">
      <alignment vertical="center"/>
    </xf>
    <xf numFmtId="3" fontId="14" fillId="0" borderId="7" xfId="0" applyNumberFormat="1" applyFont="1" applyFill="1" applyBorder="1" applyAlignment="1" applyProtection="1">
      <alignment vertical="center"/>
    </xf>
    <xf numFmtId="3" fontId="13" fillId="0" borderId="0" xfId="0" applyNumberFormat="1" applyFont="1" applyFill="1" applyBorder="1" applyAlignment="1" applyProtection="1">
      <alignment horizontal="left" vertical="center" indent="3"/>
    </xf>
    <xf numFmtId="3" fontId="12" fillId="0" borderId="0" xfId="0" applyNumberFormat="1" applyFont="1" applyFill="1" applyBorder="1" applyAlignment="1" applyProtection="1">
      <alignment horizontal="left" vertical="center" indent="3"/>
    </xf>
    <xf numFmtId="3" fontId="13" fillId="0" borderId="0" xfId="0" applyNumberFormat="1" applyFont="1" applyFill="1" applyBorder="1" applyAlignment="1" applyProtection="1">
      <alignment horizontal="center" vertical="center"/>
    </xf>
    <xf numFmtId="3" fontId="20" fillId="0" borderId="0" xfId="0" applyNumberFormat="1" applyFont="1" applyFill="1" applyBorder="1" applyAlignment="1" applyProtection="1">
      <alignment vertical="center" wrapText="1"/>
    </xf>
    <xf numFmtId="3" fontId="13" fillId="0" borderId="7" xfId="0" applyNumberFormat="1" applyFont="1" applyFill="1" applyBorder="1" applyAlignment="1" applyProtection="1">
      <alignment vertical="center"/>
    </xf>
    <xf numFmtId="3" fontId="14" fillId="0" borderId="0" xfId="0" applyNumberFormat="1" applyFont="1" applyFill="1" applyAlignment="1" applyProtection="1">
      <alignment vertical="center"/>
    </xf>
    <xf numFmtId="3" fontId="13" fillId="0" borderId="0" xfId="0" quotePrefix="1" applyNumberFormat="1" applyFont="1" applyFill="1" applyAlignment="1" applyProtection="1">
      <alignment vertical="center"/>
    </xf>
    <xf numFmtId="3" fontId="13" fillId="0" borderId="0" xfId="0" applyNumberFormat="1" applyFont="1" applyBorder="1" applyAlignment="1" applyProtection="1">
      <alignment horizontal="left" vertical="center" indent="3"/>
    </xf>
    <xf numFmtId="3" fontId="27" fillId="0" borderId="0" xfId="0" applyNumberFormat="1" applyFont="1" applyBorder="1" applyAlignment="1" applyProtection="1">
      <alignment horizontal="left" vertical="center" indent="3"/>
    </xf>
    <xf numFmtId="3" fontId="12" fillId="0" borderId="0" xfId="0" applyNumberFormat="1" applyFont="1" applyFill="1" applyBorder="1" applyAlignment="1" applyProtection="1">
      <alignment horizontal="center" vertical="center"/>
    </xf>
    <xf numFmtId="0" fontId="12" fillId="0" borderId="0" xfId="0" applyFont="1" applyAlignment="1" applyProtection="1">
      <alignment horizontal="left" vertical="center"/>
    </xf>
    <xf numFmtId="3" fontId="14" fillId="0" borderId="0" xfId="0" applyNumberFormat="1" applyFont="1" applyAlignment="1" applyProtection="1">
      <alignment horizontal="left" vertical="center"/>
    </xf>
    <xf numFmtId="3" fontId="13" fillId="0" borderId="0" xfId="0" applyNumberFormat="1" applyFont="1" applyBorder="1" applyAlignment="1" applyProtection="1">
      <alignment horizontal="left" vertical="center"/>
    </xf>
    <xf numFmtId="1" fontId="13" fillId="0" borderId="0" xfId="0" applyNumberFormat="1" applyFont="1" applyBorder="1" applyAlignment="1" applyProtection="1">
      <alignment horizontal="left" vertical="center"/>
    </xf>
    <xf numFmtId="3" fontId="41" fillId="0" borderId="0" xfId="0" applyNumberFormat="1" applyFont="1" applyFill="1" applyBorder="1" applyAlignment="1" applyProtection="1">
      <alignment vertical="center"/>
    </xf>
    <xf numFmtId="3" fontId="42" fillId="0" borderId="0" xfId="0" applyNumberFormat="1" applyFont="1" applyFill="1" applyBorder="1" applyAlignment="1" applyProtection="1">
      <alignment vertical="center"/>
    </xf>
    <xf numFmtId="3" fontId="43" fillId="0" borderId="0" xfId="0" applyNumberFormat="1" applyFont="1" applyFill="1" applyBorder="1" applyAlignment="1" applyProtection="1">
      <alignment vertical="center"/>
    </xf>
    <xf numFmtId="10" fontId="42" fillId="0" borderId="0" xfId="0" applyNumberFormat="1" applyFont="1" applyFill="1" applyBorder="1" applyAlignment="1" applyProtection="1">
      <alignment vertical="center"/>
    </xf>
    <xf numFmtId="3" fontId="43" fillId="0" borderId="0" xfId="0" applyNumberFormat="1" applyFont="1" applyBorder="1" applyAlignment="1" applyProtection="1">
      <alignment vertical="center"/>
    </xf>
    <xf numFmtId="3" fontId="44" fillId="0" borderId="0" xfId="0" applyNumberFormat="1" applyFont="1" applyFill="1" applyBorder="1" applyAlignment="1" applyProtection="1">
      <alignment vertical="center"/>
    </xf>
    <xf numFmtId="3" fontId="45" fillId="0" borderId="0" xfId="0" applyNumberFormat="1" applyFont="1" applyAlignment="1" applyProtection="1">
      <alignment horizontal="center" vertical="center"/>
    </xf>
    <xf numFmtId="0" fontId="12" fillId="0" borderId="0" xfId="0" applyFont="1"/>
    <xf numFmtId="0" fontId="13" fillId="0" borderId="0" xfId="0" applyFont="1" applyBorder="1"/>
    <xf numFmtId="0" fontId="13" fillId="0" borderId="0" xfId="0" applyFont="1" applyBorder="1" applyAlignment="1">
      <alignment horizontal="justify"/>
    </xf>
    <xf numFmtId="0" fontId="12" fillId="0" borderId="0" xfId="0" applyFont="1" applyBorder="1"/>
    <xf numFmtId="0" fontId="12" fillId="0" borderId="0" xfId="0" applyFont="1" applyAlignment="1">
      <alignment vertical="center"/>
    </xf>
    <xf numFmtId="0" fontId="31" fillId="0" borderId="0" xfId="0" applyFont="1" applyBorder="1" applyAlignment="1">
      <alignment horizontal="left" indent="2"/>
    </xf>
    <xf numFmtId="0" fontId="47" fillId="0" borderId="0" xfId="2" applyBorder="1" applyAlignment="1" applyProtection="1">
      <alignment horizontal="center"/>
    </xf>
    <xf numFmtId="0" fontId="48" fillId="0" borderId="0" xfId="0" applyFont="1"/>
    <xf numFmtId="0" fontId="49" fillId="0" borderId="0" xfId="0" applyFont="1" applyAlignment="1">
      <alignment horizontal="center"/>
    </xf>
    <xf numFmtId="167" fontId="12" fillId="3" borderId="0" xfId="0" applyNumberFormat="1" applyFont="1" applyFill="1" applyBorder="1" applyAlignment="1" applyProtection="1">
      <alignment vertical="center"/>
    </xf>
    <xf numFmtId="0" fontId="12" fillId="3" borderId="0" xfId="0" applyFont="1" applyFill="1" applyAlignment="1" applyProtection="1">
      <alignment vertical="center"/>
    </xf>
    <xf numFmtId="167" fontId="33" fillId="3" borderId="0" xfId="0" applyNumberFormat="1" applyFont="1" applyFill="1" applyBorder="1" applyAlignment="1" applyProtection="1">
      <alignment vertical="center"/>
    </xf>
    <xf numFmtId="0" fontId="12" fillId="3" borderId="75" xfId="0" applyFont="1" applyFill="1" applyBorder="1" applyAlignment="1" applyProtection="1">
      <alignment horizontal="center" vertical="center"/>
    </xf>
    <xf numFmtId="0" fontId="12" fillId="3" borderId="79" xfId="0" applyFont="1" applyFill="1" applyBorder="1" applyAlignment="1" applyProtection="1">
      <alignment horizontal="center" vertical="center"/>
    </xf>
    <xf numFmtId="0" fontId="12" fillId="3" borderId="74" xfId="0" applyFont="1" applyFill="1" applyBorder="1" applyAlignment="1" applyProtection="1">
      <alignment horizontal="center" vertical="center"/>
    </xf>
    <xf numFmtId="0" fontId="12" fillId="3" borderId="0" xfId="0" applyFont="1" applyFill="1" applyBorder="1" applyAlignment="1" applyProtection="1">
      <alignment vertical="center"/>
    </xf>
    <xf numFmtId="167" fontId="12" fillId="3" borderId="80" xfId="0" applyNumberFormat="1" applyFont="1" applyFill="1" applyBorder="1" applyAlignment="1" applyProtection="1">
      <alignment vertical="center"/>
    </xf>
    <xf numFmtId="168" fontId="12" fillId="3" borderId="0" xfId="0" applyNumberFormat="1" applyFont="1" applyFill="1" applyBorder="1" applyAlignment="1" applyProtection="1">
      <alignment vertical="center"/>
    </xf>
    <xf numFmtId="167" fontId="12" fillId="3" borderId="0" xfId="0" applyNumberFormat="1" applyFont="1" applyFill="1" applyBorder="1" applyAlignment="1" applyProtection="1">
      <alignment vertical="center" wrapText="1"/>
    </xf>
    <xf numFmtId="167" fontId="12" fillId="3" borderId="82" xfId="0" applyNumberFormat="1" applyFont="1" applyFill="1" applyBorder="1" applyAlignment="1" applyProtection="1">
      <alignment vertical="center" wrapText="1"/>
    </xf>
    <xf numFmtId="167" fontId="12" fillId="3" borderId="19" xfId="0" applyNumberFormat="1" applyFont="1" applyFill="1" applyBorder="1" applyAlignment="1" applyProtection="1">
      <alignment vertical="center"/>
    </xf>
    <xf numFmtId="0" fontId="12" fillId="3" borderId="19" xfId="0" applyFont="1" applyFill="1" applyBorder="1" applyAlignment="1" applyProtection="1">
      <alignment vertical="center"/>
    </xf>
    <xf numFmtId="0" fontId="12" fillId="3" borderId="19" xfId="0" applyFont="1" applyFill="1" applyBorder="1" applyAlignment="1" applyProtection="1">
      <alignment horizontal="right" vertical="center"/>
    </xf>
    <xf numFmtId="0" fontId="12" fillId="3" borderId="18" xfId="0" applyFont="1" applyFill="1" applyBorder="1" applyAlignment="1" applyProtection="1">
      <alignment vertical="center"/>
    </xf>
    <xf numFmtId="0" fontId="12" fillId="3" borderId="74" xfId="0" applyFont="1" applyFill="1" applyBorder="1" applyAlignment="1" applyProtection="1">
      <alignment vertical="center"/>
    </xf>
    <xf numFmtId="168" fontId="12" fillId="3" borderId="16" xfId="0" applyNumberFormat="1" applyFont="1" applyFill="1" applyBorder="1" applyAlignment="1" applyProtection="1">
      <alignment vertical="center"/>
    </xf>
    <xf numFmtId="0" fontId="12" fillId="3" borderId="75" xfId="0" applyFont="1" applyFill="1" applyBorder="1" applyAlignment="1" applyProtection="1">
      <alignment vertical="center"/>
    </xf>
    <xf numFmtId="168" fontId="12" fillId="3" borderId="13" xfId="0" applyNumberFormat="1" applyFont="1" applyFill="1" applyBorder="1" applyAlignment="1" applyProtection="1">
      <alignment vertical="center"/>
    </xf>
    <xf numFmtId="0" fontId="12" fillId="3" borderId="76" xfId="0" applyFont="1" applyFill="1" applyBorder="1" applyAlignment="1" applyProtection="1">
      <alignment vertical="center"/>
    </xf>
    <xf numFmtId="168" fontId="12" fillId="3" borderId="77" xfId="0" applyNumberFormat="1" applyFont="1" applyFill="1" applyBorder="1" applyAlignment="1" applyProtection="1">
      <alignment vertical="center"/>
    </xf>
    <xf numFmtId="168" fontId="12" fillId="3" borderId="78" xfId="0" applyNumberFormat="1" applyFont="1" applyFill="1" applyBorder="1" applyAlignment="1" applyProtection="1">
      <alignment vertical="center"/>
    </xf>
    <xf numFmtId="168" fontId="12" fillId="3" borderId="15" xfId="0" applyNumberFormat="1" applyFont="1" applyFill="1" applyBorder="1" applyAlignment="1" applyProtection="1">
      <alignment vertical="center"/>
    </xf>
    <xf numFmtId="168" fontId="12" fillId="0" borderId="83" xfId="0" applyNumberFormat="1" applyFont="1" applyFill="1" applyBorder="1" applyAlignment="1" applyProtection="1">
      <alignment vertical="center"/>
    </xf>
    <xf numFmtId="168" fontId="12" fillId="3" borderId="81" xfId="0" applyNumberFormat="1" applyFont="1" applyFill="1" applyBorder="1" applyAlignment="1" applyProtection="1">
      <alignment vertical="center"/>
    </xf>
    <xf numFmtId="0" fontId="12" fillId="3" borderId="81" xfId="0" applyFont="1" applyFill="1" applyBorder="1" applyAlignment="1" applyProtection="1">
      <alignment vertical="center"/>
    </xf>
    <xf numFmtId="168" fontId="33" fillId="3" borderId="83" xfId="0" applyNumberFormat="1" applyFont="1" applyFill="1" applyBorder="1" applyAlignment="1" applyProtection="1">
      <alignment vertical="center"/>
    </xf>
    <xf numFmtId="168" fontId="33" fillId="3" borderId="77" xfId="0" applyNumberFormat="1" applyFont="1" applyFill="1" applyBorder="1" applyAlignment="1" applyProtection="1">
      <alignment vertical="center"/>
    </xf>
    <xf numFmtId="168" fontId="12" fillId="0" borderId="83" xfId="0" applyNumberFormat="1" applyFont="1" applyFill="1" applyBorder="1" applyAlignment="1" applyProtection="1">
      <alignment vertical="center"/>
      <protection locked="0"/>
    </xf>
    <xf numFmtId="0" fontId="33" fillId="3" borderId="0" xfId="0" applyFont="1" applyFill="1" applyBorder="1" applyAlignment="1" applyProtection="1">
      <alignment vertical="center"/>
    </xf>
    <xf numFmtId="0" fontId="33" fillId="3" borderId="75" xfId="0" applyFont="1" applyFill="1" applyBorder="1" applyAlignment="1" applyProtection="1">
      <alignment horizontal="center" vertical="center"/>
    </xf>
    <xf numFmtId="1" fontId="12" fillId="3" borderId="0" xfId="0" applyNumberFormat="1" applyFont="1" applyFill="1" applyBorder="1" applyAlignment="1" applyProtection="1">
      <alignment vertical="center"/>
    </xf>
    <xf numFmtId="168" fontId="33" fillId="3" borderId="81" xfId="0" applyNumberFormat="1" applyFont="1" applyFill="1" applyBorder="1" applyAlignment="1" applyProtection="1">
      <alignment vertical="center"/>
    </xf>
    <xf numFmtId="0" fontId="33" fillId="3" borderId="80" xfId="0" applyFont="1" applyFill="1" applyBorder="1" applyAlignment="1" applyProtection="1">
      <alignment horizontal="center" vertical="center"/>
    </xf>
    <xf numFmtId="168" fontId="33" fillId="3" borderId="84" xfId="0" applyNumberFormat="1" applyFont="1" applyFill="1" applyBorder="1" applyAlignment="1" applyProtection="1">
      <alignment vertical="center"/>
    </xf>
    <xf numFmtId="168" fontId="33" fillId="3" borderId="67" xfId="0" applyNumberFormat="1" applyFont="1" applyFill="1" applyBorder="1" applyAlignment="1" applyProtection="1">
      <alignment vertical="center"/>
    </xf>
    <xf numFmtId="0" fontId="12" fillId="3" borderId="85" xfId="0" applyFont="1" applyFill="1" applyBorder="1" applyAlignment="1" applyProtection="1">
      <alignment vertical="center"/>
    </xf>
    <xf numFmtId="168" fontId="12" fillId="3" borderId="33" xfId="0" applyNumberFormat="1" applyFont="1" applyFill="1" applyBorder="1" applyAlignment="1" applyProtection="1">
      <alignment vertical="center"/>
    </xf>
    <xf numFmtId="3" fontId="53" fillId="0" borderId="0" xfId="0" applyNumberFormat="1" applyFont="1" applyAlignment="1" applyProtection="1">
      <alignment horizontal="left" vertical="center" indent="4"/>
    </xf>
    <xf numFmtId="3" fontId="50" fillId="0" borderId="0" xfId="0" applyNumberFormat="1" applyFont="1" applyAlignment="1" applyProtection="1">
      <alignment vertical="center"/>
    </xf>
    <xf numFmtId="3" fontId="13" fillId="0" borderId="0" xfId="0" quotePrefix="1" applyNumberFormat="1" applyFont="1" applyAlignment="1" applyProtection="1">
      <alignment horizontal="left" vertical="center" indent="2"/>
    </xf>
    <xf numFmtId="3" fontId="1" fillId="0" borderId="0" xfId="0" applyNumberFormat="1" applyFont="1" applyProtection="1"/>
    <xf numFmtId="3" fontId="1" fillId="6" borderId="0" xfId="0" applyNumberFormat="1" applyFont="1" applyFill="1" applyProtection="1"/>
    <xf numFmtId="0" fontId="50" fillId="0" borderId="0" xfId="0" applyFont="1" applyBorder="1"/>
    <xf numFmtId="0" fontId="21" fillId="0" borderId="0" xfId="0" applyFont="1" applyBorder="1" applyAlignment="1">
      <alignment horizontal="left" indent="1"/>
    </xf>
    <xf numFmtId="0" fontId="12" fillId="0" borderId="37" xfId="0" applyFont="1" applyBorder="1" applyAlignment="1" applyProtection="1">
      <alignment vertical="center"/>
    </xf>
    <xf numFmtId="0" fontId="12" fillId="0" borderId="36" xfId="0" applyFont="1" applyBorder="1" applyAlignment="1" applyProtection="1">
      <alignment vertical="center"/>
    </xf>
    <xf numFmtId="0" fontId="12" fillId="0" borderId="24" xfId="0" applyFont="1" applyBorder="1" applyAlignment="1" applyProtection="1">
      <alignment horizontal="center" vertical="center"/>
    </xf>
    <xf numFmtId="0" fontId="12" fillId="0" borderId="19" xfId="0" applyFont="1" applyBorder="1" applyAlignment="1" applyProtection="1">
      <alignment vertical="center"/>
    </xf>
    <xf numFmtId="3" fontId="14" fillId="0" borderId="0" xfId="0" applyNumberFormat="1" applyFont="1" applyBorder="1" applyAlignment="1" applyProtection="1">
      <alignment horizontal="left" vertical="center"/>
    </xf>
    <xf numFmtId="3" fontId="55" fillId="8" borderId="87" xfId="0" applyNumberFormat="1" applyFont="1" applyFill="1" applyBorder="1" applyAlignment="1" applyProtection="1">
      <alignment vertical="center"/>
      <protection locked="0"/>
    </xf>
    <xf numFmtId="3" fontId="55" fillId="8" borderId="86" xfId="0" applyNumberFormat="1" applyFont="1" applyFill="1" applyBorder="1" applyAlignment="1" applyProtection="1">
      <alignment vertical="center"/>
      <protection locked="0"/>
    </xf>
    <xf numFmtId="3" fontId="32" fillId="10" borderId="0" xfId="0" applyNumberFormat="1" applyFont="1" applyFill="1" applyAlignment="1" applyProtection="1">
      <alignment horizontal="center" vertical="center"/>
    </xf>
    <xf numFmtId="3" fontId="55" fillId="9" borderId="83" xfId="0" applyNumberFormat="1" applyFont="1" applyFill="1" applyBorder="1" applyAlignment="1" applyProtection="1">
      <alignment vertical="center"/>
      <protection locked="0"/>
    </xf>
    <xf numFmtId="3" fontId="55" fillId="9" borderId="77" xfId="0" applyNumberFormat="1" applyFont="1" applyFill="1" applyBorder="1" applyAlignment="1" applyProtection="1">
      <alignment vertical="center"/>
      <protection locked="0"/>
    </xf>
    <xf numFmtId="3" fontId="55" fillId="9" borderId="87" xfId="0" applyNumberFormat="1" applyFont="1" applyFill="1" applyBorder="1" applyAlignment="1" applyProtection="1">
      <alignment vertical="center"/>
      <protection locked="0"/>
    </xf>
    <xf numFmtId="3" fontId="55" fillId="9" borderId="81" xfId="0" applyNumberFormat="1" applyFont="1" applyFill="1" applyBorder="1" applyAlignment="1" applyProtection="1">
      <alignment vertical="center"/>
      <protection locked="0"/>
    </xf>
    <xf numFmtId="3" fontId="55" fillId="9" borderId="0" xfId="0" applyNumberFormat="1" applyFont="1" applyFill="1" applyBorder="1" applyAlignment="1" applyProtection="1">
      <alignment vertical="center"/>
      <protection locked="0"/>
    </xf>
    <xf numFmtId="3" fontId="12" fillId="10" borderId="0" xfId="0" applyNumberFormat="1" applyFont="1" applyFill="1" applyBorder="1" applyAlignment="1" applyProtection="1">
      <alignment vertical="center"/>
    </xf>
    <xf numFmtId="3" fontId="12" fillId="10" borderId="83" xfId="0" applyNumberFormat="1" applyFont="1" applyFill="1" applyBorder="1" applyAlignment="1" applyProtection="1">
      <alignment vertical="center"/>
    </xf>
    <xf numFmtId="168" fontId="12" fillId="3" borderId="0" xfId="0" applyNumberFormat="1" applyFont="1" applyFill="1" applyBorder="1" applyAlignment="1" applyProtection="1">
      <alignment horizontal="center" vertical="center"/>
    </xf>
    <xf numFmtId="167" fontId="12" fillId="3" borderId="0" xfId="0" applyNumberFormat="1" applyFont="1" applyFill="1" applyBorder="1" applyAlignment="1" applyProtection="1">
      <alignment horizontal="right" vertical="center"/>
    </xf>
    <xf numFmtId="0" fontId="55" fillId="9" borderId="0" xfId="0" applyFont="1" applyFill="1" applyAlignment="1" applyProtection="1">
      <alignment vertical="center"/>
      <protection locked="0"/>
    </xf>
    <xf numFmtId="3" fontId="14" fillId="10" borderId="0" xfId="0" applyNumberFormat="1" applyFont="1" applyFill="1" applyAlignment="1" applyProtection="1">
      <alignment vertical="center"/>
    </xf>
    <xf numFmtId="169" fontId="14" fillId="10" borderId="0" xfId="0" applyNumberFormat="1" applyFont="1" applyFill="1" applyAlignment="1" applyProtection="1">
      <alignment vertical="center"/>
    </xf>
    <xf numFmtId="3" fontId="59" fillId="9" borderId="0" xfId="0" applyNumberFormat="1" applyFont="1" applyFill="1" applyAlignment="1" applyProtection="1">
      <alignment vertical="center"/>
      <protection locked="0"/>
    </xf>
    <xf numFmtId="10" fontId="14" fillId="10" borderId="0" xfId="0" applyNumberFormat="1" applyFont="1" applyFill="1" applyAlignment="1" applyProtection="1">
      <alignment vertical="center"/>
    </xf>
    <xf numFmtId="165" fontId="59" fillId="9" borderId="0" xfId="0" applyNumberFormat="1" applyFont="1" applyFill="1" applyAlignment="1" applyProtection="1">
      <alignment vertical="center"/>
      <protection locked="0"/>
    </xf>
    <xf numFmtId="3" fontId="61" fillId="8" borderId="87" xfId="0" applyNumberFormat="1" applyFont="1" applyFill="1" applyBorder="1" applyAlignment="1" applyProtection="1">
      <alignment horizontal="left" vertical="center"/>
      <protection locked="0"/>
    </xf>
    <xf numFmtId="0" fontId="12" fillId="3" borderId="0" xfId="0" applyFont="1" applyFill="1" applyBorder="1" applyAlignment="1" applyProtection="1">
      <alignment horizontal="right" vertical="center"/>
    </xf>
    <xf numFmtId="3" fontId="14" fillId="0" borderId="0" xfId="0" quotePrefix="1" applyNumberFormat="1" applyFont="1" applyAlignment="1" applyProtection="1">
      <alignment vertical="center"/>
    </xf>
    <xf numFmtId="167" fontId="19" fillId="3" borderId="13" xfId="0" applyNumberFormat="1" applyFont="1" applyFill="1" applyBorder="1" applyAlignment="1" applyProtection="1">
      <alignment vertical="center"/>
    </xf>
    <xf numFmtId="3" fontId="59" fillId="9" borderId="0" xfId="0" applyNumberFormat="1" applyFont="1" applyFill="1" applyBorder="1" applyAlignment="1" applyProtection="1">
      <alignment vertical="center"/>
      <protection locked="0"/>
    </xf>
    <xf numFmtId="3" fontId="59" fillId="0" borderId="0" xfId="0" applyNumberFormat="1" applyFont="1" applyFill="1" applyBorder="1" applyAlignment="1" applyProtection="1">
      <alignment vertical="center"/>
      <protection locked="0"/>
    </xf>
    <xf numFmtId="3" fontId="14" fillId="0" borderId="52" xfId="0" applyNumberFormat="1" applyFont="1" applyBorder="1" applyAlignment="1" applyProtection="1">
      <alignment vertical="center"/>
    </xf>
    <xf numFmtId="3" fontId="12" fillId="0" borderId="37" xfId="0" applyNumberFormat="1" applyFont="1" applyBorder="1" applyAlignment="1" applyProtection="1">
      <alignment horizontal="right" vertical="center"/>
    </xf>
    <xf numFmtId="3" fontId="13" fillId="0" borderId="0" xfId="0" applyNumberFormat="1" applyFont="1" applyAlignment="1" applyProtection="1">
      <alignment horizontal="left" vertical="center" indent="4"/>
    </xf>
    <xf numFmtId="3" fontId="12" fillId="0" borderId="0" xfId="0" applyNumberFormat="1" applyFont="1" applyAlignment="1" applyProtection="1">
      <alignment horizontal="left" vertical="center" indent="4"/>
    </xf>
    <xf numFmtId="3" fontId="14" fillId="0" borderId="0" xfId="0" applyNumberFormat="1" applyFont="1" applyAlignment="1" applyProtection="1">
      <alignment horizontal="left" vertical="center" indent="4"/>
    </xf>
    <xf numFmtId="3" fontId="14" fillId="11" borderId="0" xfId="0" applyNumberFormat="1" applyFont="1" applyFill="1" applyAlignment="1" applyProtection="1">
      <alignment vertical="center"/>
    </xf>
    <xf numFmtId="3" fontId="13" fillId="0" borderId="37" xfId="0" applyNumberFormat="1" applyFont="1" applyBorder="1" applyAlignment="1" applyProtection="1">
      <alignment horizontal="right" vertical="center"/>
    </xf>
    <xf numFmtId="3" fontId="29" fillId="0" borderId="0" xfId="0" quotePrefix="1" applyNumberFormat="1" applyFont="1" applyAlignment="1" applyProtection="1">
      <alignment horizontal="left" vertical="center" indent="5"/>
    </xf>
    <xf numFmtId="3" fontId="29" fillId="0" borderId="0" xfId="0" applyNumberFormat="1" applyFont="1" applyAlignment="1" applyProtection="1">
      <alignment horizontal="left" vertical="center" indent="5"/>
    </xf>
    <xf numFmtId="3" fontId="30" fillId="0" borderId="0" xfId="0" quotePrefix="1" applyNumberFormat="1" applyFont="1" applyAlignment="1" applyProtection="1">
      <alignment horizontal="left" vertical="center" indent="5"/>
    </xf>
    <xf numFmtId="3" fontId="31" fillId="10" borderId="0" xfId="0" applyNumberFormat="1" applyFont="1" applyFill="1" applyAlignment="1" applyProtection="1">
      <alignment vertical="center"/>
    </xf>
    <xf numFmtId="3" fontId="13" fillId="0" borderId="0" xfId="0" applyNumberFormat="1" applyFont="1" applyBorder="1" applyAlignment="1" applyProtection="1">
      <alignment horizontal="left" vertical="center" indent="2"/>
    </xf>
    <xf numFmtId="3" fontId="12" fillId="0" borderId="0" xfId="0" applyNumberFormat="1" applyFont="1" applyBorder="1" applyAlignment="1" applyProtection="1">
      <alignment horizontal="left" vertical="center" indent="2"/>
    </xf>
    <xf numFmtId="0" fontId="33" fillId="11" borderId="24" xfId="0" applyFont="1" applyFill="1" applyBorder="1" applyAlignment="1" applyProtection="1">
      <alignment horizontal="center" vertical="center"/>
    </xf>
    <xf numFmtId="0" fontId="12" fillId="0" borderId="21" xfId="0" applyFont="1" applyBorder="1" applyAlignment="1" applyProtection="1">
      <alignment horizontal="center" vertical="center"/>
    </xf>
    <xf numFmtId="3" fontId="12" fillId="0" borderId="88" xfId="0" applyNumberFormat="1" applyFont="1" applyFill="1" applyBorder="1" applyAlignment="1" applyProtection="1">
      <alignment vertical="center"/>
    </xf>
    <xf numFmtId="3" fontId="12" fillId="0" borderId="21" xfId="0" applyNumberFormat="1" applyFont="1" applyBorder="1" applyAlignment="1" applyProtection="1">
      <alignment horizontal="center" vertical="center"/>
    </xf>
    <xf numFmtId="3" fontId="12" fillId="0" borderId="26" xfId="0" applyNumberFormat="1" applyFont="1" applyBorder="1" applyAlignment="1" applyProtection="1">
      <alignment vertical="center"/>
    </xf>
    <xf numFmtId="3" fontId="12" fillId="0" borderId="89" xfId="0" applyNumberFormat="1" applyFont="1" applyFill="1" applyBorder="1" applyAlignment="1" applyProtection="1">
      <alignment vertical="center"/>
    </xf>
    <xf numFmtId="0" fontId="12" fillId="0" borderId="27" xfId="0" applyFont="1" applyBorder="1" applyAlignment="1" applyProtection="1">
      <alignment vertical="center"/>
    </xf>
    <xf numFmtId="0" fontId="12" fillId="0" borderId="20" xfId="0" applyFont="1" applyBorder="1" applyAlignment="1" applyProtection="1">
      <alignment horizontal="center" vertical="center"/>
    </xf>
    <xf numFmtId="3" fontId="12" fillId="0" borderId="28" xfId="0" applyNumberFormat="1" applyFont="1" applyBorder="1" applyAlignment="1" applyProtection="1">
      <alignment vertical="center"/>
    </xf>
    <xf numFmtId="3" fontId="12" fillId="0" borderId="20" xfId="0" applyNumberFormat="1" applyFont="1" applyBorder="1" applyAlignment="1" applyProtection="1">
      <alignment horizontal="center" vertical="center"/>
    </xf>
    <xf numFmtId="3" fontId="12" fillId="0" borderId="29" xfId="0" applyNumberFormat="1" applyFont="1" applyBorder="1" applyAlignment="1" applyProtection="1">
      <alignment vertical="center"/>
    </xf>
    <xf numFmtId="3" fontId="12" fillId="0" borderId="30" xfId="0" applyNumberFormat="1" applyFont="1" applyBorder="1" applyAlignment="1" applyProtection="1">
      <alignment vertical="center"/>
    </xf>
    <xf numFmtId="0" fontId="12" fillId="0" borderId="14" xfId="0" applyFont="1" applyBorder="1" applyAlignment="1" applyProtection="1">
      <alignment vertical="center"/>
    </xf>
    <xf numFmtId="3" fontId="12" fillId="0" borderId="31" xfId="0" applyNumberFormat="1" applyFont="1" applyBorder="1" applyAlignment="1" applyProtection="1">
      <alignment vertical="center"/>
    </xf>
    <xf numFmtId="3" fontId="12" fillId="0" borderId="32" xfId="0" applyNumberFormat="1" applyFont="1" applyBorder="1" applyAlignment="1" applyProtection="1">
      <alignment vertical="center"/>
    </xf>
    <xf numFmtId="0" fontId="12" fillId="0" borderId="33" xfId="0" applyFont="1" applyBorder="1" applyAlignment="1" applyProtection="1">
      <alignment horizontal="center" vertical="center"/>
    </xf>
    <xf numFmtId="3" fontId="12" fillId="0" borderId="34" xfId="0" applyNumberFormat="1" applyFont="1" applyBorder="1" applyAlignment="1" applyProtection="1">
      <alignment vertical="center"/>
    </xf>
    <xf numFmtId="3" fontId="12" fillId="0" borderId="33" xfId="0" applyNumberFormat="1" applyFont="1" applyBorder="1" applyAlignment="1" applyProtection="1">
      <alignment horizontal="center" vertical="center"/>
    </xf>
    <xf numFmtId="3" fontId="12" fillId="0" borderId="35" xfId="0" applyNumberFormat="1" applyFont="1" applyBorder="1" applyAlignment="1" applyProtection="1">
      <alignment vertical="center"/>
    </xf>
    <xf numFmtId="3" fontId="55" fillId="9" borderId="39" xfId="0" applyNumberFormat="1" applyFont="1" applyFill="1" applyBorder="1" applyAlignment="1" applyProtection="1">
      <alignment vertical="center"/>
      <protection locked="0"/>
    </xf>
    <xf numFmtId="0" fontId="12" fillId="0" borderId="40" xfId="0" applyFont="1" applyBorder="1" applyAlignment="1" applyProtection="1">
      <alignment vertical="center"/>
    </xf>
    <xf numFmtId="0" fontId="12" fillId="0" borderId="42" xfId="0" applyFont="1" applyBorder="1" applyAlignment="1" applyProtection="1">
      <alignment vertical="center"/>
    </xf>
    <xf numFmtId="3" fontId="12" fillId="0" borderId="45" xfId="0" applyNumberFormat="1" applyFont="1" applyBorder="1" applyAlignment="1" applyProtection="1">
      <alignment vertical="center"/>
    </xf>
    <xf numFmtId="0" fontId="12" fillId="0" borderId="46" xfId="0" applyFont="1" applyBorder="1" applyAlignment="1" applyProtection="1">
      <alignment vertical="center"/>
    </xf>
    <xf numFmtId="3" fontId="12" fillId="0" borderId="49" xfId="0" applyNumberFormat="1" applyFont="1" applyBorder="1" applyAlignment="1" applyProtection="1">
      <alignment vertical="center"/>
    </xf>
    <xf numFmtId="0" fontId="12" fillId="0" borderId="50" xfId="0" applyFont="1" applyBorder="1" applyAlignment="1" applyProtection="1">
      <alignment vertical="center"/>
    </xf>
    <xf numFmtId="3" fontId="12" fillId="0" borderId="39" xfId="0" applyNumberFormat="1" applyFont="1" applyBorder="1" applyAlignment="1" applyProtection="1">
      <alignment vertical="center"/>
    </xf>
    <xf numFmtId="3" fontId="55" fillId="9" borderId="30" xfId="0" applyNumberFormat="1" applyFont="1" applyFill="1" applyBorder="1" applyAlignment="1" applyProtection="1">
      <alignment vertical="center"/>
      <protection locked="0"/>
    </xf>
    <xf numFmtId="3" fontId="55" fillId="9" borderId="30" xfId="0" applyNumberFormat="1" applyFont="1" applyFill="1" applyBorder="1" applyAlignment="1" applyProtection="1">
      <alignment vertical="center"/>
    </xf>
    <xf numFmtId="49" fontId="12" fillId="0" borderId="29" xfId="0" applyNumberFormat="1" applyFont="1" applyBorder="1" applyAlignment="1" applyProtection="1">
      <alignment vertical="center"/>
    </xf>
    <xf numFmtId="49" fontId="12" fillId="0" borderId="40" xfId="0" applyNumberFormat="1" applyFont="1" applyBorder="1" applyAlignment="1" applyProtection="1">
      <alignment vertical="center"/>
    </xf>
    <xf numFmtId="49" fontId="33" fillId="0" borderId="55" xfId="0" applyNumberFormat="1" applyFont="1" applyBorder="1" applyAlignment="1" applyProtection="1">
      <alignment vertical="center"/>
    </xf>
    <xf numFmtId="3" fontId="33" fillId="0" borderId="49" xfId="0" applyNumberFormat="1" applyFont="1" applyBorder="1" applyAlignment="1" applyProtection="1">
      <alignment vertical="center"/>
    </xf>
    <xf numFmtId="0" fontId="12" fillId="0" borderId="17" xfId="0" applyFont="1" applyBorder="1" applyAlignment="1" applyProtection="1">
      <alignment vertical="center"/>
    </xf>
    <xf numFmtId="3" fontId="12" fillId="0" borderId="57" xfId="0" applyNumberFormat="1" applyFont="1" applyBorder="1" applyAlignment="1" applyProtection="1">
      <alignment vertical="center"/>
    </xf>
    <xf numFmtId="0" fontId="12" fillId="0" borderId="12" xfId="0" applyFont="1" applyBorder="1" applyAlignment="1" applyProtection="1">
      <alignment vertical="center"/>
    </xf>
    <xf numFmtId="3" fontId="55" fillId="9" borderId="45" xfId="0" applyNumberFormat="1" applyFont="1" applyFill="1" applyBorder="1" applyAlignment="1" applyProtection="1">
      <alignment vertical="center"/>
      <protection locked="0"/>
    </xf>
    <xf numFmtId="49" fontId="33" fillId="0" borderId="58" xfId="0" applyNumberFormat="1" applyFont="1" applyBorder="1" applyAlignment="1" applyProtection="1">
      <alignment vertical="center"/>
    </xf>
    <xf numFmtId="3" fontId="33" fillId="0" borderId="61" xfId="0" applyNumberFormat="1" applyFont="1" applyBorder="1" applyAlignment="1" applyProtection="1">
      <alignment vertical="center"/>
    </xf>
    <xf numFmtId="0" fontId="12" fillId="0" borderId="3" xfId="0" applyFont="1" applyFill="1" applyBorder="1" applyAlignment="1" applyProtection="1">
      <alignment vertical="center"/>
    </xf>
    <xf numFmtId="0" fontId="12" fillId="0" borderId="7" xfId="0" applyFont="1" applyFill="1" applyBorder="1" applyAlignment="1" applyProtection="1">
      <alignment vertical="center"/>
    </xf>
    <xf numFmtId="0" fontId="12" fillId="0" borderId="4" xfId="0" applyFont="1" applyFill="1" applyBorder="1" applyAlignment="1" applyProtection="1">
      <alignment vertical="center"/>
    </xf>
    <xf numFmtId="0" fontId="12" fillId="0" borderId="8" xfId="0" applyFont="1" applyFill="1" applyBorder="1" applyAlignment="1" applyProtection="1">
      <alignment vertical="center"/>
    </xf>
    <xf numFmtId="0" fontId="12" fillId="0" borderId="62" xfId="0" applyFont="1" applyBorder="1" applyAlignment="1" applyProtection="1">
      <alignment horizontal="center" vertical="center"/>
    </xf>
    <xf numFmtId="0" fontId="33" fillId="0" borderId="63" xfId="0" applyFont="1" applyBorder="1" applyAlignment="1" applyProtection="1">
      <alignment horizontal="center" vertical="center"/>
    </xf>
    <xf numFmtId="3" fontId="33" fillId="0" borderId="64" xfId="0" applyNumberFormat="1" applyFont="1" applyBorder="1" applyAlignment="1" applyProtection="1">
      <alignment vertical="center"/>
    </xf>
    <xf numFmtId="3" fontId="33" fillId="0" borderId="16" xfId="0" applyNumberFormat="1" applyFont="1" applyBorder="1" applyAlignment="1" applyProtection="1">
      <alignment vertical="center"/>
    </xf>
    <xf numFmtId="49" fontId="12" fillId="0" borderId="12" xfId="0" applyNumberFormat="1" applyFont="1" applyBorder="1" applyAlignment="1" applyProtection="1">
      <alignment horizontal="center" vertical="center"/>
    </xf>
    <xf numFmtId="0" fontId="51" fillId="4" borderId="20" xfId="0" applyFont="1" applyFill="1" applyBorder="1" applyAlignment="1" applyProtection="1">
      <alignment horizontal="center" vertical="center"/>
    </xf>
    <xf numFmtId="49" fontId="12" fillId="0" borderId="66" xfId="0" applyNumberFormat="1" applyFont="1" applyBorder="1" applyAlignment="1" applyProtection="1">
      <alignment horizontal="center" vertical="center"/>
    </xf>
    <xf numFmtId="0" fontId="51" fillId="5" borderId="67" xfId="0" applyFont="1" applyFill="1" applyBorder="1" applyAlignment="1" applyProtection="1">
      <alignment horizontal="center" vertical="center"/>
    </xf>
    <xf numFmtId="0" fontId="12" fillId="0" borderId="28" xfId="0" applyFont="1" applyFill="1" applyBorder="1" applyAlignment="1" applyProtection="1">
      <alignment horizontal="center" vertical="center"/>
    </xf>
    <xf numFmtId="0" fontId="12" fillId="0" borderId="20" xfId="0" applyFont="1" applyFill="1" applyBorder="1" applyAlignment="1" applyProtection="1">
      <alignment horizontal="center" vertical="center"/>
    </xf>
    <xf numFmtId="0" fontId="12" fillId="0" borderId="66" xfId="0" applyFont="1" applyBorder="1" applyAlignment="1" applyProtection="1">
      <alignment vertical="center"/>
    </xf>
    <xf numFmtId="0" fontId="12" fillId="0" borderId="68" xfId="0" applyFont="1" applyBorder="1" applyAlignment="1" applyProtection="1">
      <alignment vertical="center"/>
    </xf>
    <xf numFmtId="49" fontId="12" fillId="0" borderId="65" xfId="0" applyNumberFormat="1" applyFont="1" applyBorder="1" applyAlignment="1" applyProtection="1">
      <alignment horizontal="center" vertical="center"/>
    </xf>
    <xf numFmtId="49" fontId="12" fillId="0" borderId="0" xfId="0" applyNumberFormat="1" applyFont="1" applyBorder="1" applyAlignment="1" applyProtection="1">
      <alignment horizontal="center" vertical="center"/>
    </xf>
    <xf numFmtId="49" fontId="12" fillId="0" borderId="14" xfId="0" applyNumberFormat="1" applyFont="1" applyBorder="1" applyAlignment="1" applyProtection="1">
      <alignment horizontal="center" vertical="center"/>
    </xf>
    <xf numFmtId="0" fontId="12" fillId="0" borderId="14" xfId="0" applyFont="1" applyBorder="1" applyAlignment="1" applyProtection="1">
      <alignment horizontal="left" vertical="center" wrapText="1"/>
    </xf>
    <xf numFmtId="0" fontId="12" fillId="0" borderId="69" xfId="0" applyFont="1" applyBorder="1" applyAlignment="1" applyProtection="1">
      <alignment horizontal="left" vertical="center"/>
    </xf>
    <xf numFmtId="0" fontId="12" fillId="0" borderId="19" xfId="0" applyFont="1" applyBorder="1" applyAlignment="1" applyProtection="1">
      <alignment horizontal="left" vertical="center"/>
    </xf>
    <xf numFmtId="0" fontId="12" fillId="0" borderId="70" xfId="0" applyFont="1" applyBorder="1" applyAlignment="1" applyProtection="1">
      <alignment horizontal="left" vertical="center"/>
    </xf>
    <xf numFmtId="0" fontId="12" fillId="0" borderId="54" xfId="0" applyFont="1" applyBorder="1" applyAlignment="1" applyProtection="1">
      <alignment horizontal="left" vertical="center"/>
    </xf>
    <xf numFmtId="0" fontId="12" fillId="0" borderId="34" xfId="0" applyFont="1" applyBorder="1" applyAlignment="1" applyProtection="1">
      <alignment horizontal="center" vertical="center"/>
    </xf>
    <xf numFmtId="0" fontId="12" fillId="0" borderId="15" xfId="0" applyFont="1" applyBorder="1" applyAlignment="1" applyProtection="1">
      <alignment horizontal="center" vertical="center"/>
    </xf>
    <xf numFmtId="0" fontId="12" fillId="0" borderId="22" xfId="0" applyFont="1" applyBorder="1" applyAlignment="1" applyProtection="1">
      <alignment horizontal="center" vertical="center" wrapText="1"/>
    </xf>
    <xf numFmtId="3" fontId="12" fillId="0" borderId="71" xfId="0" applyNumberFormat="1" applyFont="1" applyBorder="1" applyAlignment="1" applyProtection="1">
      <alignment vertical="center"/>
    </xf>
    <xf numFmtId="3" fontId="12" fillId="0" borderId="66" xfId="0" applyNumberFormat="1" applyFont="1" applyBorder="1" applyAlignment="1" applyProtection="1">
      <alignment vertical="center"/>
    </xf>
    <xf numFmtId="0" fontId="12" fillId="0" borderId="22" xfId="0" applyFont="1" applyBorder="1" applyAlignment="1" applyProtection="1">
      <alignment horizontal="center" vertical="center"/>
    </xf>
    <xf numFmtId="3" fontId="12" fillId="0" borderId="73" xfId="0" applyNumberFormat="1" applyFont="1" applyBorder="1" applyAlignment="1" applyProtection="1">
      <alignment vertical="center"/>
    </xf>
    <xf numFmtId="0" fontId="12" fillId="0" borderId="0" xfId="0" applyFont="1" applyAlignment="1" applyProtection="1"/>
    <xf numFmtId="3" fontId="29" fillId="0" borderId="0" xfId="0" quotePrefix="1" applyNumberFormat="1" applyFont="1" applyAlignment="1" applyProtection="1">
      <alignment horizontal="center"/>
    </xf>
    <xf numFmtId="3" fontId="14" fillId="0" borderId="0" xfId="0" applyNumberFormat="1" applyFont="1" applyAlignment="1" applyProtection="1"/>
    <xf numFmtId="3" fontId="13" fillId="0" borderId="0" xfId="0" applyNumberFormat="1" applyFont="1" applyAlignment="1" applyProtection="1"/>
    <xf numFmtId="0" fontId="13" fillId="0" borderId="0" xfId="0" applyFont="1" applyAlignment="1" applyProtection="1"/>
    <xf numFmtId="3" fontId="14" fillId="0" borderId="52" xfId="0" applyNumberFormat="1" applyFont="1" applyBorder="1" applyAlignment="1" applyProtection="1"/>
    <xf numFmtId="3" fontId="13" fillId="0" borderId="37" xfId="0" applyNumberFormat="1" applyFont="1" applyBorder="1" applyAlignment="1" applyProtection="1">
      <alignment vertical="center"/>
    </xf>
    <xf numFmtId="3" fontId="13" fillId="0" borderId="37" xfId="0" applyNumberFormat="1" applyFont="1" applyFill="1" applyBorder="1" applyAlignment="1" applyProtection="1">
      <alignment vertical="center"/>
    </xf>
    <xf numFmtId="3" fontId="56" fillId="11" borderId="0" xfId="0" applyNumberFormat="1" applyFont="1" applyFill="1" applyBorder="1" applyAlignment="1" applyProtection="1">
      <alignment horizontal="center" vertical="center"/>
    </xf>
    <xf numFmtId="3" fontId="63" fillId="11" borderId="0" xfId="0" applyNumberFormat="1" applyFont="1" applyFill="1" applyBorder="1" applyAlignment="1" applyProtection="1">
      <alignment horizontal="center" vertical="center" wrapText="1"/>
    </xf>
    <xf numFmtId="0" fontId="46" fillId="12" borderId="0" xfId="0" applyFont="1" applyFill="1" applyBorder="1" applyAlignment="1">
      <alignment horizontal="center" vertical="center"/>
    </xf>
    <xf numFmtId="3" fontId="56" fillId="9" borderId="0" xfId="0" applyNumberFormat="1" applyFont="1" applyFill="1" applyBorder="1" applyAlignment="1" applyProtection="1">
      <alignment vertical="center"/>
      <protection locked="0"/>
    </xf>
    <xf numFmtId="3" fontId="13" fillId="0" borderId="0" xfId="0" applyNumberFormat="1" applyFont="1" applyAlignment="1" applyProtection="1">
      <alignment horizontal="left" vertical="center" indent="1"/>
    </xf>
    <xf numFmtId="0" fontId="65" fillId="0" borderId="0" xfId="0" applyFont="1" applyBorder="1" applyAlignment="1">
      <alignment horizontal="justify" wrapText="1"/>
    </xf>
    <xf numFmtId="0" fontId="65" fillId="0" borderId="0" xfId="0" applyFont="1" applyAlignment="1" applyProtection="1">
      <alignment horizontal="left" vertical="center" wrapText="1" indent="2"/>
      <protection hidden="1"/>
    </xf>
    <xf numFmtId="0" fontId="12" fillId="0" borderId="0" xfId="0" applyFont="1" applyBorder="1" applyAlignment="1">
      <alignment horizontal="left" indent="2"/>
    </xf>
    <xf numFmtId="0" fontId="65" fillId="0" borderId="0" xfId="0" applyFont="1" applyAlignment="1" applyProtection="1">
      <alignment horizontal="left" vertical="center" indent="2"/>
      <protection hidden="1"/>
    </xf>
    <xf numFmtId="0" fontId="15" fillId="0" borderId="0" xfId="0" applyFont="1" applyAlignment="1" applyProtection="1">
      <alignment horizontal="left" vertical="center" wrapText="1" indent="7"/>
      <protection hidden="1"/>
    </xf>
    <xf numFmtId="0" fontId="65" fillId="0" borderId="0" xfId="0" applyFont="1" applyBorder="1" applyAlignment="1">
      <alignment wrapText="1"/>
    </xf>
    <xf numFmtId="0" fontId="13" fillId="0" borderId="0" xfId="0" applyFont="1" applyBorder="1" applyAlignment="1">
      <alignment horizontal="center"/>
    </xf>
    <xf numFmtId="0" fontId="12" fillId="0" borderId="40" xfId="0" applyFont="1" applyBorder="1" applyAlignment="1" applyProtection="1">
      <alignment horizontal="left" vertical="center"/>
    </xf>
    <xf numFmtId="0" fontId="12" fillId="0" borderId="52" xfId="0" applyFont="1" applyBorder="1" applyAlignment="1" applyProtection="1">
      <alignment horizontal="left" vertical="center"/>
    </xf>
    <xf numFmtId="0" fontId="12" fillId="0" borderId="29" xfId="0" applyFont="1" applyBorder="1" applyAlignment="1" applyProtection="1">
      <alignment horizontal="left" vertical="center"/>
    </xf>
    <xf numFmtId="0" fontId="12" fillId="0" borderId="41" xfId="0" applyFont="1" applyBorder="1" applyAlignment="1" applyProtection="1">
      <alignment horizontal="left" vertical="center"/>
    </xf>
    <xf numFmtId="0" fontId="12" fillId="0" borderId="66" xfId="0" applyFont="1" applyBorder="1" applyAlignment="1" applyProtection="1">
      <alignment horizontal="left" vertical="center"/>
    </xf>
    <xf numFmtId="0" fontId="12" fillId="0" borderId="68" xfId="0" applyFont="1" applyBorder="1" applyAlignment="1" applyProtection="1">
      <alignment horizontal="left" vertical="center"/>
    </xf>
    <xf numFmtId="0" fontId="12" fillId="0" borderId="12" xfId="0" applyFont="1" applyBorder="1" applyAlignment="1" applyProtection="1">
      <alignment horizontal="left" vertical="center"/>
    </xf>
    <xf numFmtId="0" fontId="12" fillId="0" borderId="0" xfId="0" applyFont="1" applyBorder="1" applyAlignment="1" applyProtection="1">
      <alignment horizontal="left" vertical="center"/>
    </xf>
    <xf numFmtId="0" fontId="12" fillId="0" borderId="92" xfId="0" applyFont="1" applyBorder="1" applyAlignment="1" applyProtection="1">
      <alignment horizontal="center" vertical="center" textRotation="90"/>
    </xf>
    <xf numFmtId="0" fontId="12" fillId="0" borderId="93" xfId="0" applyFont="1" applyBorder="1" applyAlignment="1" applyProtection="1">
      <alignment vertical="center"/>
    </xf>
    <xf numFmtId="0" fontId="12" fillId="0" borderId="35" xfId="0" applyFont="1" applyBorder="1" applyAlignment="1" applyProtection="1">
      <alignment vertical="center"/>
    </xf>
    <xf numFmtId="0" fontId="18" fillId="0" borderId="92" xfId="0" applyFont="1" applyBorder="1" applyAlignment="1" applyProtection="1">
      <alignment horizontal="center" vertical="center" textRotation="90" wrapText="1"/>
    </xf>
    <xf numFmtId="0" fontId="18" fillId="0" borderId="35" xfId="0" applyFont="1" applyBorder="1" applyAlignment="1" applyProtection="1">
      <alignment vertical="center"/>
    </xf>
    <xf numFmtId="0" fontId="12" fillId="0" borderId="17" xfId="0" applyFont="1" applyBorder="1" applyAlignment="1" applyProtection="1">
      <alignment horizontal="right" vertical="center"/>
    </xf>
    <xf numFmtId="0" fontId="12" fillId="0" borderId="18" xfId="0" applyFont="1" applyBorder="1" applyAlignment="1" applyProtection="1">
      <alignment horizontal="right" vertical="center"/>
    </xf>
    <xf numFmtId="0" fontId="12" fillId="0" borderId="56" xfId="0" applyFont="1" applyBorder="1" applyAlignment="1" applyProtection="1">
      <alignment horizontal="right" vertical="center"/>
    </xf>
    <xf numFmtId="0" fontId="12" fillId="0" borderId="50" xfId="0" applyFont="1" applyBorder="1" applyAlignment="1" applyProtection="1">
      <alignment horizontal="left" vertical="center"/>
    </xf>
    <xf numFmtId="0" fontId="12" fillId="0" borderId="26" xfId="0" applyFont="1" applyBorder="1" applyAlignment="1" applyProtection="1">
      <alignment horizontal="left" vertical="center"/>
    </xf>
    <xf numFmtId="0" fontId="12" fillId="0" borderId="51" xfId="0" applyFont="1" applyBorder="1" applyAlignment="1" applyProtection="1">
      <alignment horizontal="left" vertical="center"/>
    </xf>
    <xf numFmtId="3" fontId="14" fillId="0" borderId="0" xfId="0" applyNumberFormat="1" applyFont="1" applyAlignment="1" applyProtection="1">
      <alignment horizontal="left" vertical="center" wrapText="1"/>
    </xf>
    <xf numFmtId="0" fontId="33" fillId="11" borderId="24" xfId="0" applyFont="1" applyFill="1" applyBorder="1" applyAlignment="1" applyProtection="1">
      <alignment horizontal="center" vertical="center"/>
    </xf>
    <xf numFmtId="0" fontId="12" fillId="0" borderId="27" xfId="0" applyFont="1" applyBorder="1" applyAlignment="1" applyProtection="1">
      <alignment horizontal="left" vertical="center"/>
    </xf>
    <xf numFmtId="0" fontId="12" fillId="0" borderId="36" xfId="0" applyFont="1" applyBorder="1" applyAlignment="1" applyProtection="1">
      <alignment horizontal="left" vertical="center"/>
    </xf>
    <xf numFmtId="0" fontId="12" fillId="0" borderId="37" xfId="0" applyFont="1" applyBorder="1" applyAlignment="1" applyProtection="1">
      <alignment horizontal="left" vertical="center"/>
    </xf>
    <xf numFmtId="0" fontId="12" fillId="0" borderId="23" xfId="0" applyFont="1" applyBorder="1" applyAlignment="1" applyProtection="1">
      <alignment horizontal="center" vertical="center"/>
    </xf>
    <xf numFmtId="0" fontId="12" fillId="0" borderId="24" xfId="0" applyFont="1" applyBorder="1" applyAlignment="1" applyProtection="1">
      <alignment horizontal="center" vertical="center"/>
    </xf>
    <xf numFmtId="0" fontId="12" fillId="0" borderId="2" xfId="0" applyFont="1" applyBorder="1" applyAlignment="1" applyProtection="1">
      <alignment horizontal="center" vertical="center"/>
    </xf>
    <xf numFmtId="0" fontId="12" fillId="0" borderId="3" xfId="0" applyFont="1" applyBorder="1" applyAlignment="1" applyProtection="1">
      <alignment horizontal="center" vertical="center"/>
    </xf>
    <xf numFmtId="0" fontId="12" fillId="0" borderId="6" xfId="0" applyFont="1" applyBorder="1" applyAlignment="1" applyProtection="1">
      <alignment horizontal="center" vertical="center"/>
    </xf>
    <xf numFmtId="0" fontId="12" fillId="0" borderId="7" xfId="0" applyFont="1" applyBorder="1" applyAlignment="1" applyProtection="1">
      <alignment horizontal="center" vertical="center"/>
    </xf>
    <xf numFmtId="0" fontId="33" fillId="11" borderId="3" xfId="0" applyFont="1" applyFill="1" applyBorder="1" applyAlignment="1" applyProtection="1">
      <alignment horizontal="center" vertical="center"/>
    </xf>
    <xf numFmtId="0" fontId="33" fillId="11" borderId="7" xfId="0" applyFont="1" applyFill="1" applyBorder="1" applyAlignment="1" applyProtection="1">
      <alignment horizontal="center" vertical="center"/>
    </xf>
    <xf numFmtId="0" fontId="35" fillId="7" borderId="0" xfId="0" applyFont="1" applyFill="1" applyAlignment="1">
      <alignment horizontal="center"/>
    </xf>
    <xf numFmtId="3" fontId="64" fillId="0" borderId="0" xfId="0" applyNumberFormat="1" applyFont="1" applyFill="1" applyBorder="1" applyAlignment="1" applyProtection="1">
      <alignment horizontal="center" vertical="center"/>
    </xf>
    <xf numFmtId="3" fontId="13" fillId="0" borderId="0" xfId="0" applyNumberFormat="1" applyFont="1" applyAlignment="1" applyProtection="1">
      <alignment horizontal="left" vertical="center" wrapText="1" indent="2"/>
    </xf>
    <xf numFmtId="3" fontId="31" fillId="0" borderId="0" xfId="0" applyNumberFormat="1" applyFont="1" applyAlignment="1" applyProtection="1">
      <alignment horizontal="left" vertical="center" wrapText="1" indent="2"/>
    </xf>
    <xf numFmtId="0" fontId="12" fillId="0" borderId="17" xfId="0" applyFont="1" applyBorder="1" applyAlignment="1" applyProtection="1">
      <alignment horizontal="center" vertical="center"/>
    </xf>
    <xf numFmtId="0" fontId="12" fillId="0" borderId="16" xfId="0" applyFont="1" applyBorder="1" applyAlignment="1" applyProtection="1">
      <alignment vertical="center"/>
    </xf>
    <xf numFmtId="0" fontId="18" fillId="0" borderId="3" xfId="0" applyFont="1" applyFill="1" applyBorder="1" applyAlignment="1" applyProtection="1">
      <alignment horizontal="center" vertical="center"/>
    </xf>
    <xf numFmtId="0" fontId="12" fillId="0" borderId="78" xfId="0" applyFont="1" applyBorder="1" applyAlignment="1" applyProtection="1">
      <alignment horizontal="center" vertical="center" textRotation="90" wrapText="1"/>
    </xf>
    <xf numFmtId="0" fontId="12" fillId="0" borderId="96" xfId="0" applyFont="1" applyBorder="1" applyAlignment="1" applyProtection="1">
      <alignment vertical="center"/>
    </xf>
    <xf numFmtId="0" fontId="12" fillId="0" borderId="91" xfId="0" applyFont="1" applyBorder="1" applyAlignment="1" applyProtection="1">
      <alignment vertical="center"/>
    </xf>
    <xf numFmtId="0" fontId="12" fillId="0" borderId="14" xfId="0" applyFont="1" applyBorder="1" applyAlignment="1" applyProtection="1">
      <alignment horizontal="center" vertical="center"/>
    </xf>
    <xf numFmtId="0" fontId="12" fillId="0" borderId="19" xfId="0" applyFont="1" applyBorder="1" applyAlignment="1" applyProtection="1">
      <alignment horizontal="center" vertical="center"/>
    </xf>
    <xf numFmtId="0" fontId="12" fillId="0" borderId="15" xfId="0" applyFont="1" applyBorder="1" applyAlignment="1" applyProtection="1">
      <alignment horizontal="center" vertical="center"/>
    </xf>
    <xf numFmtId="0" fontId="12" fillId="0" borderId="17" xfId="0" applyFont="1" applyBorder="1" applyAlignment="1" applyProtection="1">
      <alignment horizontal="center" vertical="center" wrapText="1"/>
    </xf>
    <xf numFmtId="0" fontId="12" fillId="0" borderId="46" xfId="0" applyFont="1" applyBorder="1" applyAlignment="1" applyProtection="1">
      <alignment horizontal="center" vertical="center"/>
    </xf>
    <xf numFmtId="0" fontId="12" fillId="0" borderId="64" xfId="0" applyFont="1" applyBorder="1" applyAlignment="1" applyProtection="1">
      <alignment vertical="center"/>
    </xf>
    <xf numFmtId="0" fontId="12" fillId="0" borderId="17" xfId="0" applyFont="1" applyBorder="1" applyAlignment="1" applyProtection="1">
      <alignment horizontal="left" vertical="center"/>
    </xf>
    <xf numFmtId="0" fontId="12" fillId="0" borderId="18" xfId="0" applyFont="1" applyBorder="1" applyAlignment="1" applyProtection="1">
      <alignment horizontal="left" vertical="center"/>
    </xf>
    <xf numFmtId="0" fontId="12" fillId="0" borderId="56" xfId="0" applyFont="1" applyBorder="1" applyAlignment="1" applyProtection="1">
      <alignment horizontal="left" vertical="center"/>
    </xf>
    <xf numFmtId="3" fontId="41" fillId="0" borderId="0" xfId="0" applyNumberFormat="1" applyFont="1" applyFill="1" applyBorder="1" applyAlignment="1" applyProtection="1">
      <alignment horizontal="center" vertical="center" wrapText="1"/>
    </xf>
    <xf numFmtId="3" fontId="41" fillId="0" borderId="0" xfId="0" applyNumberFormat="1" applyFont="1" applyFill="1" applyBorder="1" applyAlignment="1" applyProtection="1">
      <alignment horizontal="left" vertical="center" wrapText="1" readingOrder="1"/>
    </xf>
    <xf numFmtId="3" fontId="13" fillId="0" borderId="0" xfId="0" applyNumberFormat="1" applyFont="1" applyAlignment="1" applyProtection="1">
      <alignment horizontal="left" vertical="center" wrapText="1"/>
    </xf>
    <xf numFmtId="3" fontId="39" fillId="0" borderId="0" xfId="0" applyNumberFormat="1" applyFont="1" applyAlignment="1" applyProtection="1">
      <alignment horizontal="center" vertical="center"/>
    </xf>
    <xf numFmtId="3" fontId="13" fillId="0" borderId="0" xfId="0" applyNumberFormat="1" applyFont="1" applyBorder="1" applyAlignment="1" applyProtection="1">
      <alignment horizontal="left" vertical="center"/>
    </xf>
    <xf numFmtId="3" fontId="14" fillId="0" borderId="0" xfId="0" applyNumberFormat="1" applyFont="1" applyFill="1" applyBorder="1" applyAlignment="1" applyProtection="1">
      <alignment horizontal="left" vertical="center"/>
    </xf>
    <xf numFmtId="0" fontId="37" fillId="0" borderId="0" xfId="0" applyFont="1" applyBorder="1" applyAlignment="1" applyProtection="1">
      <alignment horizontal="center" vertical="center"/>
    </xf>
    <xf numFmtId="0" fontId="33" fillId="0" borderId="12" xfId="0" applyFont="1" applyBorder="1" applyAlignment="1" applyProtection="1">
      <alignment horizontal="left" vertical="center"/>
    </xf>
    <xf numFmtId="0" fontId="12" fillId="0" borderId="13" xfId="0" applyFont="1" applyBorder="1" applyAlignment="1" applyProtection="1">
      <alignment horizontal="left" vertical="center"/>
    </xf>
    <xf numFmtId="0" fontId="12" fillId="0" borderId="19" xfId="0" applyFont="1" applyBorder="1" applyAlignment="1" applyProtection="1">
      <alignment horizontal="left" vertical="center"/>
    </xf>
    <xf numFmtId="0" fontId="12" fillId="0" borderId="15" xfId="0" applyFont="1" applyBorder="1" applyAlignment="1" applyProtection="1">
      <alignment horizontal="left" vertical="center"/>
    </xf>
    <xf numFmtId="49" fontId="12" fillId="0" borderId="65" xfId="0" applyNumberFormat="1" applyFont="1" applyBorder="1" applyAlignment="1" applyProtection="1">
      <alignment horizontal="center" vertical="center"/>
    </xf>
    <xf numFmtId="0" fontId="12" fillId="0" borderId="95" xfId="0" applyFont="1" applyBorder="1" applyAlignment="1" applyProtection="1">
      <alignment horizontal="center" vertical="center"/>
    </xf>
    <xf numFmtId="0" fontId="33" fillId="0" borderId="55" xfId="0" applyFont="1" applyBorder="1" applyAlignment="1" applyProtection="1">
      <alignment horizontal="left" vertical="center"/>
    </xf>
    <xf numFmtId="0" fontId="33" fillId="0" borderId="47" xfId="0" applyFont="1" applyBorder="1" applyAlignment="1" applyProtection="1">
      <alignment horizontal="left" vertical="center"/>
    </xf>
    <xf numFmtId="0" fontId="12" fillId="0" borderId="47" xfId="0" applyFont="1" applyBorder="1" applyAlignment="1" applyProtection="1">
      <alignment horizontal="left" vertical="center"/>
    </xf>
    <xf numFmtId="0" fontId="12" fillId="0" borderId="48" xfId="0" applyFont="1" applyBorder="1" applyAlignment="1" applyProtection="1">
      <alignment horizontal="left" vertical="center"/>
    </xf>
    <xf numFmtId="49" fontId="33" fillId="0" borderId="93" xfId="0" applyNumberFormat="1" applyFont="1" applyBorder="1" applyAlignment="1" applyProtection="1">
      <alignment horizontal="center" vertical="center" textRotation="90"/>
    </xf>
    <xf numFmtId="0" fontId="33" fillId="0" borderId="93" xfId="0" applyFont="1" applyBorder="1" applyAlignment="1" applyProtection="1">
      <alignment vertical="center"/>
    </xf>
    <xf numFmtId="0" fontId="33" fillId="0" borderId="94" xfId="0" applyFont="1" applyBorder="1" applyAlignment="1" applyProtection="1">
      <alignment vertical="center"/>
    </xf>
    <xf numFmtId="0" fontId="33" fillId="0" borderId="36" xfId="0" applyFont="1" applyBorder="1" applyAlignment="1" applyProtection="1">
      <alignment horizontal="center" vertical="center"/>
    </xf>
    <xf numFmtId="0" fontId="33" fillId="0" borderId="37" xfId="0" applyFont="1" applyBorder="1" applyAlignment="1" applyProtection="1">
      <alignment horizontal="center" vertical="center"/>
    </xf>
    <xf numFmtId="0" fontId="33" fillId="0" borderId="39" xfId="0" applyFont="1" applyBorder="1" applyAlignment="1" applyProtection="1">
      <alignment horizontal="center" vertical="center"/>
    </xf>
    <xf numFmtId="0" fontId="33" fillId="0" borderId="40" xfId="0" applyFont="1" applyBorder="1" applyAlignment="1" applyProtection="1">
      <alignment horizontal="center" vertical="center"/>
    </xf>
    <xf numFmtId="0" fontId="33" fillId="0" borderId="29" xfId="0" applyFont="1" applyBorder="1" applyAlignment="1" applyProtection="1">
      <alignment horizontal="center" vertical="center"/>
    </xf>
    <xf numFmtId="0" fontId="33" fillId="0" borderId="30" xfId="0" applyFont="1" applyBorder="1" applyAlignment="1" applyProtection="1">
      <alignment horizontal="center" vertical="center"/>
    </xf>
    <xf numFmtId="0" fontId="12" fillId="0" borderId="38" xfId="0" applyFont="1" applyBorder="1" applyAlignment="1" applyProtection="1">
      <alignment horizontal="left" vertical="center"/>
    </xf>
    <xf numFmtId="3" fontId="56" fillId="11" borderId="0" xfId="0" applyNumberFormat="1" applyFont="1" applyFill="1" applyBorder="1" applyAlignment="1" applyProtection="1">
      <alignment horizontal="center" vertical="center"/>
    </xf>
    <xf numFmtId="3" fontId="63" fillId="11" borderId="0" xfId="0" applyNumberFormat="1" applyFont="1" applyFill="1" applyBorder="1" applyAlignment="1" applyProtection="1">
      <alignment horizontal="center" vertical="center" wrapText="1"/>
    </xf>
    <xf numFmtId="3" fontId="20" fillId="0" borderId="0" xfId="0" applyNumberFormat="1" applyFont="1" applyAlignment="1" applyProtection="1">
      <alignment horizontal="left" vertical="center" wrapText="1" indent="4"/>
    </xf>
    <xf numFmtId="49" fontId="12" fillId="0" borderId="29" xfId="0" applyNumberFormat="1" applyFont="1" applyBorder="1" applyAlignment="1" applyProtection="1">
      <alignment horizontal="left" vertical="center"/>
    </xf>
    <xf numFmtId="49" fontId="12" fillId="0" borderId="41" xfId="0" applyNumberFormat="1" applyFont="1" applyBorder="1" applyAlignment="1" applyProtection="1">
      <alignment horizontal="left" vertical="center"/>
    </xf>
    <xf numFmtId="0" fontId="33" fillId="0" borderId="0" xfId="0" applyFont="1" applyBorder="1" applyAlignment="1" applyProtection="1">
      <alignment horizontal="left" vertical="center"/>
    </xf>
    <xf numFmtId="0" fontId="33" fillId="0" borderId="13" xfId="0" applyFont="1" applyBorder="1" applyAlignment="1" applyProtection="1">
      <alignment horizontal="left" vertical="center"/>
    </xf>
    <xf numFmtId="3" fontId="15" fillId="0" borderId="0" xfId="0" applyNumberFormat="1" applyFont="1" applyFill="1" applyAlignment="1" applyProtection="1">
      <alignment horizontal="center" vertical="center" wrapText="1"/>
    </xf>
    <xf numFmtId="3" fontId="62" fillId="10" borderId="0" xfId="0" applyNumberFormat="1" applyFont="1" applyFill="1" applyBorder="1" applyAlignment="1" applyProtection="1">
      <alignment horizontal="center" vertical="center"/>
    </xf>
    <xf numFmtId="0" fontId="62" fillId="10" borderId="0" xfId="0" applyFont="1" applyFill="1" applyBorder="1" applyAlignment="1" applyProtection="1">
      <alignment horizontal="center" vertical="center"/>
    </xf>
    <xf numFmtId="167" fontId="33" fillId="3" borderId="0" xfId="0" applyNumberFormat="1" applyFont="1" applyFill="1" applyBorder="1" applyAlignment="1" applyProtection="1">
      <alignment horizontal="center" vertical="center"/>
    </xf>
    <xf numFmtId="3" fontId="13" fillId="0" borderId="0" xfId="0" applyNumberFormat="1" applyFont="1" applyFill="1" applyBorder="1" applyAlignment="1" applyProtection="1">
      <alignment horizontal="center" vertical="center"/>
    </xf>
    <xf numFmtId="3" fontId="13" fillId="0" borderId="0" xfId="0" applyNumberFormat="1" applyFont="1" applyBorder="1" applyAlignment="1" applyProtection="1">
      <alignment horizontal="center" vertical="center"/>
    </xf>
    <xf numFmtId="3" fontId="54" fillId="0" borderId="0" xfId="0" applyNumberFormat="1" applyFont="1" applyFill="1" applyBorder="1" applyAlignment="1" applyProtection="1">
      <alignment horizontal="center" vertical="center"/>
    </xf>
    <xf numFmtId="168" fontId="12" fillId="3" borderId="83" xfId="0" applyNumberFormat="1" applyFont="1" applyFill="1" applyBorder="1" applyAlignment="1" applyProtection="1">
      <alignment vertical="center"/>
    </xf>
    <xf numFmtId="0" fontId="12" fillId="3" borderId="75" xfId="0" applyFont="1" applyFill="1" applyBorder="1" applyAlignment="1" applyProtection="1">
      <alignment horizontal="center" vertical="center"/>
    </xf>
    <xf numFmtId="3" fontId="13" fillId="0" borderId="0" xfId="0" applyNumberFormat="1" applyFont="1" applyBorder="1" applyAlignment="1" applyProtection="1">
      <alignment horizontal="left" vertical="center" indent="2"/>
    </xf>
    <xf numFmtId="168" fontId="12" fillId="3" borderId="81" xfId="0" applyNumberFormat="1" applyFont="1" applyFill="1" applyBorder="1" applyAlignment="1" applyProtection="1">
      <alignment vertical="center"/>
    </xf>
    <xf numFmtId="168" fontId="12" fillId="3" borderId="97" xfId="0" applyNumberFormat="1" applyFont="1" applyFill="1" applyBorder="1" applyAlignment="1" applyProtection="1">
      <alignment vertical="center"/>
    </xf>
    <xf numFmtId="168" fontId="12" fillId="3" borderId="77" xfId="0" applyNumberFormat="1" applyFont="1" applyFill="1" applyBorder="1" applyAlignment="1" applyProtection="1">
      <alignment vertical="center"/>
    </xf>
    <xf numFmtId="167" fontId="12" fillId="3" borderId="80" xfId="0" applyNumberFormat="1" applyFont="1" applyFill="1" applyBorder="1" applyAlignment="1" applyProtection="1">
      <alignment horizontal="left" vertical="center"/>
    </xf>
    <xf numFmtId="3" fontId="56" fillId="9" borderId="0" xfId="0" applyNumberFormat="1" applyFont="1" applyFill="1" applyAlignment="1" applyProtection="1">
      <alignment horizontal="center" vertical="center"/>
      <protection locked="0"/>
    </xf>
    <xf numFmtId="0" fontId="21" fillId="3" borderId="99" xfId="0" applyFont="1" applyFill="1" applyBorder="1" applyAlignment="1" applyProtection="1">
      <alignment horizontal="center" vertical="center" textRotation="255" wrapText="1"/>
    </xf>
    <xf numFmtId="0" fontId="21" fillId="3" borderId="101" xfId="0" applyFont="1" applyFill="1" applyBorder="1" applyAlignment="1" applyProtection="1">
      <alignment horizontal="center" vertical="center" textRotation="255" wrapText="1"/>
    </xf>
    <xf numFmtId="0" fontId="21" fillId="3" borderId="100" xfId="0" applyFont="1" applyFill="1" applyBorder="1" applyAlignment="1" applyProtection="1">
      <alignment horizontal="center" vertical="center" textRotation="255" wrapText="1"/>
    </xf>
    <xf numFmtId="3" fontId="14" fillId="0" borderId="0" xfId="0" applyNumberFormat="1" applyFont="1" applyAlignment="1" applyProtection="1">
      <alignment horizontal="center" vertical="center"/>
    </xf>
    <xf numFmtId="49" fontId="33" fillId="0" borderId="55" xfId="0" applyNumberFormat="1" applyFont="1" applyBorder="1" applyAlignment="1" applyProtection="1">
      <alignment horizontal="left" vertical="center"/>
    </xf>
    <xf numFmtId="49" fontId="33" fillId="0" borderId="47" xfId="0" applyNumberFormat="1" applyFont="1" applyBorder="1" applyAlignment="1" applyProtection="1">
      <alignment horizontal="left" vertical="center"/>
    </xf>
    <xf numFmtId="49" fontId="33" fillId="0" borderId="48" xfId="0" applyNumberFormat="1" applyFont="1" applyBorder="1" applyAlignment="1" applyProtection="1">
      <alignment horizontal="left" vertical="center"/>
    </xf>
    <xf numFmtId="3" fontId="57" fillId="0" borderId="0" xfId="0" applyNumberFormat="1" applyFont="1" applyAlignment="1" applyProtection="1">
      <alignment horizontal="center" vertical="center"/>
    </xf>
    <xf numFmtId="3" fontId="15" fillId="0" borderId="0" xfId="0" applyNumberFormat="1" applyFont="1" applyFill="1" applyBorder="1" applyAlignment="1" applyProtection="1">
      <alignment horizontal="center" vertical="center"/>
    </xf>
    <xf numFmtId="3" fontId="13" fillId="0" borderId="0" xfId="0" applyNumberFormat="1" applyFont="1" applyFill="1" applyBorder="1" applyAlignment="1" applyProtection="1">
      <alignment horizontal="left" vertical="center" indent="2"/>
    </xf>
    <xf numFmtId="3" fontId="13" fillId="0" borderId="0" xfId="0" applyNumberFormat="1" applyFont="1" applyAlignment="1" applyProtection="1">
      <alignment horizontal="left" vertical="center"/>
    </xf>
    <xf numFmtId="0" fontId="51" fillId="3" borderId="17" xfId="0" applyFont="1" applyFill="1" applyBorder="1" applyAlignment="1" applyProtection="1">
      <alignment horizontal="center" vertical="center"/>
    </xf>
    <xf numFmtId="0" fontId="51" fillId="3" borderId="12" xfId="0" applyFont="1" applyFill="1" applyBorder="1" applyAlignment="1" applyProtection="1">
      <alignment horizontal="center" vertical="center"/>
    </xf>
    <xf numFmtId="0" fontId="12" fillId="3" borderId="17" xfId="0" applyFont="1" applyFill="1" applyBorder="1" applyAlignment="1" applyProtection="1">
      <alignment horizontal="center" vertical="center" textRotation="255"/>
    </xf>
    <xf numFmtId="0" fontId="12" fillId="3" borderId="12" xfId="0" applyFont="1" applyFill="1" applyBorder="1" applyAlignment="1" applyProtection="1">
      <alignment horizontal="center" vertical="center" textRotation="255"/>
    </xf>
    <xf numFmtId="0" fontId="12" fillId="3" borderId="14" xfId="0" applyFont="1" applyFill="1" applyBorder="1" applyAlignment="1" applyProtection="1">
      <alignment horizontal="center" vertical="center" textRotation="255"/>
    </xf>
    <xf numFmtId="167" fontId="12" fillId="3" borderId="80" xfId="0" applyNumberFormat="1" applyFont="1" applyFill="1" applyBorder="1" applyAlignment="1" applyProtection="1">
      <alignment horizontal="center" vertical="center"/>
    </xf>
    <xf numFmtId="3" fontId="12" fillId="3" borderId="18" xfId="0" applyNumberFormat="1" applyFont="1" applyFill="1" applyBorder="1" applyAlignment="1" applyProtection="1">
      <alignment horizontal="left" vertical="center" wrapText="1"/>
    </xf>
    <xf numFmtId="0" fontId="17" fillId="3" borderId="17" xfId="0" applyFont="1" applyFill="1" applyBorder="1" applyAlignment="1" applyProtection="1">
      <alignment horizontal="center" vertical="center"/>
    </xf>
    <xf numFmtId="0" fontId="17" fillId="3" borderId="12" xfId="0" applyFont="1" applyFill="1" applyBorder="1" applyAlignment="1" applyProtection="1">
      <alignment horizontal="center" vertical="center"/>
    </xf>
    <xf numFmtId="0" fontId="21" fillId="3" borderId="46" xfId="0" applyFont="1" applyFill="1" applyBorder="1" applyAlignment="1" applyProtection="1">
      <alignment horizontal="center" vertical="center" textRotation="255"/>
    </xf>
    <xf numFmtId="0" fontId="12" fillId="0" borderId="92" xfId="0" applyFont="1" applyBorder="1" applyAlignment="1" applyProtection="1">
      <alignment horizontal="center" vertical="center" textRotation="90" wrapText="1"/>
    </xf>
    <xf numFmtId="0" fontId="12" fillId="0" borderId="93" xfId="0" applyFont="1" applyBorder="1" applyAlignment="1" applyProtection="1">
      <alignment vertical="center" wrapText="1"/>
    </xf>
    <xf numFmtId="0" fontId="12" fillId="0" borderId="35" xfId="0" applyFont="1" applyBorder="1" applyAlignment="1" applyProtection="1">
      <alignment vertical="center" wrapText="1"/>
    </xf>
    <xf numFmtId="3" fontId="52" fillId="0" borderId="0" xfId="0" applyNumberFormat="1" applyFont="1" applyAlignment="1" applyProtection="1">
      <alignment horizontal="left" vertical="center" wrapText="1" indent="3"/>
    </xf>
    <xf numFmtId="0" fontId="12" fillId="0" borderId="93" xfId="0" applyFont="1" applyBorder="1" applyAlignment="1" applyProtection="1">
      <alignment horizontal="center" vertical="center" wrapText="1"/>
    </xf>
    <xf numFmtId="0" fontId="12" fillId="0" borderId="35" xfId="0" applyFont="1" applyBorder="1" applyAlignment="1" applyProtection="1">
      <alignment horizontal="center" vertical="center" wrapText="1"/>
    </xf>
    <xf numFmtId="0" fontId="12" fillId="0" borderId="46" xfId="0" applyFont="1" applyBorder="1" applyAlignment="1" applyProtection="1">
      <alignment horizontal="right" vertical="center"/>
    </xf>
    <xf numFmtId="0" fontId="12" fillId="0" borderId="47" xfId="0" applyFont="1" applyBorder="1" applyAlignment="1" applyProtection="1">
      <alignment horizontal="right" vertical="center"/>
    </xf>
    <xf numFmtId="0" fontId="12" fillId="0" borderId="48" xfId="0" applyFont="1" applyBorder="1" applyAlignment="1" applyProtection="1">
      <alignment horizontal="right" vertical="center"/>
    </xf>
    <xf numFmtId="167" fontId="60" fillId="3" borderId="0" xfId="0" applyNumberFormat="1" applyFont="1" applyFill="1" applyBorder="1" applyAlignment="1" applyProtection="1">
      <alignment horizontal="right" vertical="center"/>
    </xf>
    <xf numFmtId="167" fontId="60" fillId="3" borderId="82" xfId="0" applyNumberFormat="1" applyFont="1" applyFill="1" applyBorder="1" applyAlignment="1" applyProtection="1">
      <alignment horizontal="right" vertical="center"/>
    </xf>
    <xf numFmtId="0" fontId="12" fillId="0" borderId="98" xfId="0" applyFont="1" applyBorder="1" applyAlignment="1" applyProtection="1">
      <alignment vertical="center"/>
    </xf>
    <xf numFmtId="0" fontId="12" fillId="0" borderId="37" xfId="0" applyFont="1" applyBorder="1" applyAlignment="1" applyProtection="1">
      <alignment vertical="center"/>
    </xf>
    <xf numFmtId="0" fontId="12" fillId="0" borderId="53" xfId="0" applyFont="1" applyBorder="1" applyAlignment="1" applyProtection="1">
      <alignment horizontal="left" vertical="center"/>
    </xf>
    <xf numFmtId="3" fontId="50" fillId="0" borderId="0" xfId="0" applyNumberFormat="1" applyFont="1" applyAlignment="1" applyProtection="1">
      <alignment horizontal="left" vertical="center" wrapText="1" indent="4"/>
    </xf>
    <xf numFmtId="0" fontId="33" fillId="0" borderId="90" xfId="0" applyFont="1" applyBorder="1" applyAlignment="1" applyProtection="1">
      <alignment horizontal="left" vertical="center"/>
    </xf>
    <xf numFmtId="0" fontId="12" fillId="0" borderId="7" xfId="0" applyFont="1" applyBorder="1" applyAlignment="1" applyProtection="1">
      <alignment horizontal="left" vertical="center"/>
    </xf>
    <xf numFmtId="0" fontId="12" fillId="0" borderId="61" xfId="0" applyFont="1" applyBorder="1" applyAlignment="1" applyProtection="1">
      <alignment horizontal="left" vertical="center"/>
    </xf>
    <xf numFmtId="0" fontId="33" fillId="0" borderId="14" xfId="0" applyFont="1" applyBorder="1" applyAlignment="1" applyProtection="1">
      <alignment horizontal="center" vertical="center"/>
    </xf>
    <xf numFmtId="0" fontId="33" fillId="0" borderId="19" xfId="0" applyFont="1" applyBorder="1" applyAlignment="1" applyProtection="1">
      <alignment horizontal="center" vertical="center"/>
    </xf>
    <xf numFmtId="0" fontId="33" fillId="0" borderId="15" xfId="0" applyFont="1" applyBorder="1" applyAlignment="1" applyProtection="1">
      <alignment horizontal="center" vertical="center"/>
    </xf>
    <xf numFmtId="49" fontId="12" fillId="0" borderId="78" xfId="0" applyNumberFormat="1" applyFont="1" applyBorder="1" applyAlignment="1" applyProtection="1">
      <alignment horizontal="center" vertical="center"/>
    </xf>
    <xf numFmtId="49" fontId="12" fillId="0" borderId="91" xfId="0" applyNumberFormat="1" applyFont="1" applyBorder="1" applyAlignment="1" applyProtection="1">
      <alignment horizontal="center" vertical="center"/>
    </xf>
    <xf numFmtId="0" fontId="12" fillId="0" borderId="16" xfId="0" applyFont="1" applyBorder="1" applyAlignment="1" applyProtection="1">
      <alignment horizontal="left" vertical="center"/>
    </xf>
    <xf numFmtId="0" fontId="12" fillId="0" borderId="14" xfId="0" applyFont="1" applyBorder="1" applyAlignment="1" applyProtection="1">
      <alignment horizontal="left" vertical="center"/>
    </xf>
    <xf numFmtId="49" fontId="12" fillId="0" borderId="95" xfId="0" applyNumberFormat="1" applyFont="1" applyBorder="1" applyAlignment="1" applyProtection="1">
      <alignment horizontal="center" vertical="center"/>
    </xf>
    <xf numFmtId="0" fontId="12" fillId="0" borderId="25" xfId="0" applyFont="1" applyBorder="1" applyAlignment="1" applyProtection="1">
      <alignment vertical="center"/>
    </xf>
    <xf numFmtId="0" fontId="12" fillId="0" borderId="19" xfId="0" applyFont="1" applyBorder="1" applyAlignment="1" applyProtection="1">
      <alignment vertical="center"/>
    </xf>
    <xf numFmtId="49" fontId="12" fillId="0" borderId="12" xfId="0" applyNumberFormat="1" applyFont="1" applyBorder="1" applyAlignment="1" applyProtection="1">
      <alignment horizontal="center" vertical="center"/>
    </xf>
    <xf numFmtId="49" fontId="12" fillId="0" borderId="14" xfId="0" applyNumberFormat="1" applyFont="1" applyBorder="1" applyAlignment="1" applyProtection="1">
      <alignment horizontal="center" vertical="center"/>
    </xf>
    <xf numFmtId="3" fontId="0" fillId="0" borderId="0" xfId="0" applyNumberFormat="1" applyAlignment="1">
      <alignment horizontal="left"/>
    </xf>
    <xf numFmtId="3" fontId="0" fillId="0" borderId="9" xfId="0" applyNumberFormat="1" applyBorder="1" applyAlignment="1">
      <alignment horizontal="center" vertical="center"/>
    </xf>
    <xf numFmtId="3" fontId="0" fillId="0" borderId="10" xfId="0" applyNumberFormat="1" applyBorder="1" applyAlignment="1">
      <alignment horizontal="center" vertical="center"/>
    </xf>
    <xf numFmtId="3" fontId="0" fillId="0" borderId="11" xfId="0" applyNumberFormat="1" applyBorder="1" applyAlignment="1">
      <alignment horizontal="center" vertical="center"/>
    </xf>
    <xf numFmtId="3" fontId="0" fillId="0" borderId="0" xfId="0" applyNumberFormat="1" applyBorder="1" applyAlignment="1">
      <alignment horizontal="center" vertical="center"/>
    </xf>
    <xf numFmtId="1" fontId="8" fillId="0" borderId="12" xfId="0" applyNumberFormat="1" applyFont="1" applyBorder="1" applyAlignment="1">
      <alignment horizontal="center" vertical="center"/>
    </xf>
    <xf numFmtId="1" fontId="8" fillId="0" borderId="0" xfId="0" applyNumberFormat="1" applyFont="1" applyBorder="1" applyAlignment="1">
      <alignment horizontal="center" vertical="center"/>
    </xf>
    <xf numFmtId="1" fontId="8" fillId="0" borderId="13" xfId="0" applyNumberFormat="1" applyFont="1" applyBorder="1" applyAlignment="1">
      <alignment horizontal="center" vertical="center"/>
    </xf>
    <xf numFmtId="1" fontId="8" fillId="0" borderId="0" xfId="0" applyNumberFormat="1" applyFont="1" applyAlignment="1">
      <alignment horizontal="left" vertical="center"/>
    </xf>
  </cellXfs>
  <cellStyles count="3">
    <cellStyle name="Euro" xfId="1"/>
    <cellStyle name="Lien hypertexte" xfId="2" builtinId="8"/>
    <cellStyle name="Normal" xfId="0" builtinId="0"/>
  </cellStyles>
  <dxfs count="0"/>
  <tableStyles count="0" defaultTableStyle="TableStyleMedium9" defaultPivotStyle="PivotStyleLight16"/>
  <colors>
    <mruColors>
      <color rgb="FFCC6600"/>
      <color rgb="FF993300"/>
      <color rgb="FFFF0000"/>
      <color rgb="FFFF3300"/>
      <color rgb="FF006600"/>
      <color rgb="FF3366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3.xml.rels><?xml version="1.0" encoding="UTF-8" standalone="yes"?>
<Relationships xmlns="http://schemas.openxmlformats.org/package/2006/relationships"><Relationship Id="rId8" Type="http://schemas.openxmlformats.org/officeDocument/2006/relationships/hyperlink" Target="#simulateur!E290"/><Relationship Id="rId13" Type="http://schemas.openxmlformats.org/officeDocument/2006/relationships/hyperlink" Target="#simulateur!E561"/><Relationship Id="rId3" Type="http://schemas.openxmlformats.org/officeDocument/2006/relationships/hyperlink" Target="#simulateur!E117"/><Relationship Id="rId7" Type="http://schemas.openxmlformats.org/officeDocument/2006/relationships/hyperlink" Target="#simulateur!E273"/><Relationship Id="rId12" Type="http://schemas.openxmlformats.org/officeDocument/2006/relationships/hyperlink" Target="#simulateur!E532"/><Relationship Id="rId2" Type="http://schemas.openxmlformats.org/officeDocument/2006/relationships/hyperlink" Target="#simulateur!E101"/><Relationship Id="rId1" Type="http://schemas.openxmlformats.org/officeDocument/2006/relationships/image" Target="../media/image2.png"/><Relationship Id="rId6" Type="http://schemas.openxmlformats.org/officeDocument/2006/relationships/hyperlink" Target="#simulateur!E218"/><Relationship Id="rId11" Type="http://schemas.openxmlformats.org/officeDocument/2006/relationships/hyperlink" Target="#simulateur!E489"/><Relationship Id="rId5" Type="http://schemas.openxmlformats.org/officeDocument/2006/relationships/hyperlink" Target="#simulateur!E161"/><Relationship Id="rId15" Type="http://schemas.openxmlformats.org/officeDocument/2006/relationships/hyperlink" Target="#simulateur!E35"/><Relationship Id="rId10" Type="http://schemas.openxmlformats.org/officeDocument/2006/relationships/hyperlink" Target="#simulateur!E467"/><Relationship Id="rId4" Type="http://schemas.openxmlformats.org/officeDocument/2006/relationships/hyperlink" Target="#simulateur!E140"/><Relationship Id="rId9" Type="http://schemas.openxmlformats.org/officeDocument/2006/relationships/hyperlink" Target="#simulateur!E397"/><Relationship Id="rId14" Type="http://schemas.openxmlformats.org/officeDocument/2006/relationships/hyperlink" Target="#simulateur!B6"/></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xdr:from>
      <xdr:col>1</xdr:col>
      <xdr:colOff>0</xdr:colOff>
      <xdr:row>1</xdr:row>
      <xdr:rowOff>0</xdr:rowOff>
    </xdr:from>
    <xdr:to>
      <xdr:col>2</xdr:col>
      <xdr:colOff>0</xdr:colOff>
      <xdr:row>1</xdr:row>
      <xdr:rowOff>492125</xdr:rowOff>
    </xdr:to>
    <xdr:sp macro="" textlink="">
      <xdr:nvSpPr>
        <xdr:cNvPr id="2" name="Rectangle à coins arrondis 1"/>
        <xdr:cNvSpPr/>
      </xdr:nvSpPr>
      <xdr:spPr>
        <a:xfrm>
          <a:off x="762000" y="190500"/>
          <a:ext cx="9906000" cy="492125"/>
        </a:xfrm>
        <a:prstGeom prst="roundRect">
          <a:avLst/>
        </a:prstGeom>
        <a:solidFill>
          <a:schemeClr val="tx1">
            <a:lumMod val="75000"/>
            <a:alpha val="31000"/>
          </a:schemeClr>
        </a:solidFill>
        <a:ln>
          <a:no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solidFill>
              <a:schemeClr val="tx1"/>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1</xdr:row>
      <xdr:rowOff>0</xdr:rowOff>
    </xdr:from>
    <xdr:to>
      <xdr:col>2</xdr:col>
      <xdr:colOff>0</xdr:colOff>
      <xdr:row>1</xdr:row>
      <xdr:rowOff>492125</xdr:rowOff>
    </xdr:to>
    <xdr:sp macro="" textlink="">
      <xdr:nvSpPr>
        <xdr:cNvPr id="2" name="Rectangle à coins arrondis 1"/>
        <xdr:cNvSpPr/>
      </xdr:nvSpPr>
      <xdr:spPr>
        <a:xfrm>
          <a:off x="762000" y="190500"/>
          <a:ext cx="9906000" cy="492125"/>
        </a:xfrm>
        <a:prstGeom prst="roundRect">
          <a:avLst/>
        </a:prstGeom>
        <a:solidFill>
          <a:schemeClr val="tx1">
            <a:lumMod val="75000"/>
            <a:alpha val="31000"/>
          </a:schemeClr>
        </a:solidFill>
        <a:ln>
          <a:no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solidFill>
              <a:schemeClr val="tx1"/>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104775</xdr:colOff>
      <xdr:row>75</xdr:row>
      <xdr:rowOff>38100</xdr:rowOff>
    </xdr:from>
    <xdr:to>
      <xdr:col>9</xdr:col>
      <xdr:colOff>714375</xdr:colOff>
      <xdr:row>77</xdr:row>
      <xdr:rowOff>123825</xdr:rowOff>
    </xdr:to>
    <xdr:cxnSp macro="">
      <xdr:nvCxnSpPr>
        <xdr:cNvPr id="4" name="Connecteur droit 3"/>
        <xdr:cNvCxnSpPr/>
      </xdr:nvCxnSpPr>
      <xdr:spPr>
        <a:xfrm flipV="1">
          <a:off x="7924800" y="17678400"/>
          <a:ext cx="1800225" cy="5429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146050</xdr:colOff>
      <xdr:row>64</xdr:row>
      <xdr:rowOff>142875</xdr:rowOff>
    </xdr:from>
    <xdr:to>
      <xdr:col>9</xdr:col>
      <xdr:colOff>749300</xdr:colOff>
      <xdr:row>66</xdr:row>
      <xdr:rowOff>28575</xdr:rowOff>
    </xdr:to>
    <xdr:cxnSp macro="">
      <xdr:nvCxnSpPr>
        <xdr:cNvPr id="5" name="Connecteur droit 4"/>
        <xdr:cNvCxnSpPr/>
      </xdr:nvCxnSpPr>
      <xdr:spPr>
        <a:xfrm>
          <a:off x="6597650" y="15471775"/>
          <a:ext cx="1085850" cy="2667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9525</xdr:colOff>
      <xdr:row>70</xdr:row>
      <xdr:rowOff>219075</xdr:rowOff>
    </xdr:from>
    <xdr:to>
      <xdr:col>10</xdr:col>
      <xdr:colOff>0</xdr:colOff>
      <xdr:row>71</xdr:row>
      <xdr:rowOff>152402</xdr:rowOff>
    </xdr:to>
    <xdr:cxnSp macro="">
      <xdr:nvCxnSpPr>
        <xdr:cNvPr id="6" name="Connecteur droit 5"/>
        <xdr:cNvCxnSpPr/>
      </xdr:nvCxnSpPr>
      <xdr:spPr>
        <a:xfrm flipV="1">
          <a:off x="7829550" y="16716375"/>
          <a:ext cx="1943100" cy="16192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6351</xdr:colOff>
      <xdr:row>70</xdr:row>
      <xdr:rowOff>120650</xdr:rowOff>
    </xdr:from>
    <xdr:to>
      <xdr:col>10</xdr:col>
      <xdr:colOff>9525</xdr:colOff>
      <xdr:row>70</xdr:row>
      <xdr:rowOff>200025</xdr:rowOff>
    </xdr:to>
    <xdr:cxnSp macro="">
      <xdr:nvCxnSpPr>
        <xdr:cNvPr id="7" name="Connecteur droit 6"/>
        <xdr:cNvCxnSpPr/>
      </xdr:nvCxnSpPr>
      <xdr:spPr>
        <a:xfrm>
          <a:off x="7826376" y="16617950"/>
          <a:ext cx="1955799" cy="7937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84138</xdr:colOff>
      <xdr:row>73</xdr:row>
      <xdr:rowOff>120650</xdr:rowOff>
    </xdr:from>
    <xdr:to>
      <xdr:col>9</xdr:col>
      <xdr:colOff>688975</xdr:colOff>
      <xdr:row>74</xdr:row>
      <xdr:rowOff>184150</xdr:rowOff>
    </xdr:to>
    <xdr:cxnSp macro="">
      <xdr:nvCxnSpPr>
        <xdr:cNvPr id="8" name="Connecteur droit 7"/>
        <xdr:cNvCxnSpPr/>
      </xdr:nvCxnSpPr>
      <xdr:spPr>
        <a:xfrm>
          <a:off x="6535738" y="17164050"/>
          <a:ext cx="1087437" cy="254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120650</xdr:colOff>
      <xdr:row>66</xdr:row>
      <xdr:rowOff>165100</xdr:rowOff>
    </xdr:from>
    <xdr:to>
      <xdr:col>9</xdr:col>
      <xdr:colOff>739775</xdr:colOff>
      <xdr:row>69</xdr:row>
      <xdr:rowOff>39690</xdr:rowOff>
    </xdr:to>
    <xdr:cxnSp macro="">
      <xdr:nvCxnSpPr>
        <xdr:cNvPr id="9" name="Connecteur droit 8"/>
        <xdr:cNvCxnSpPr/>
      </xdr:nvCxnSpPr>
      <xdr:spPr>
        <a:xfrm flipV="1">
          <a:off x="6572250" y="15875000"/>
          <a:ext cx="1101725" cy="44609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76201</xdr:colOff>
      <xdr:row>356</xdr:row>
      <xdr:rowOff>238125</xdr:rowOff>
    </xdr:from>
    <xdr:to>
      <xdr:col>10</xdr:col>
      <xdr:colOff>228601</xdr:colOff>
      <xdr:row>358</xdr:row>
      <xdr:rowOff>76200</xdr:rowOff>
    </xdr:to>
    <xdr:sp macro="" textlink="">
      <xdr:nvSpPr>
        <xdr:cNvPr id="17" name="Text Box 7"/>
        <xdr:cNvSpPr txBox="1">
          <a:spLocks noChangeArrowheads="1"/>
        </xdr:cNvSpPr>
      </xdr:nvSpPr>
      <xdr:spPr bwMode="auto">
        <a:xfrm>
          <a:off x="7772401" y="85213825"/>
          <a:ext cx="152400" cy="257175"/>
        </a:xfrm>
        <a:prstGeom prst="rect">
          <a:avLst/>
        </a:prstGeom>
        <a:solidFill>
          <a:srgbClr val="FFFFFF"/>
        </a:solidFill>
        <a:ln w="9525">
          <a:noFill/>
          <a:miter lim="800000"/>
          <a:headEnd/>
          <a:tailEnd/>
        </a:ln>
      </xdr:spPr>
      <xdr:txBody>
        <a:bodyPr vertOverflow="clip" wrap="square" lIns="18288" tIns="18288" rIns="18288" bIns="0" anchor="t" upright="1"/>
        <a:lstStyle/>
        <a:p>
          <a:pPr marL="0" marR="0" indent="0" algn="ctr" defTabSz="914400" rtl="0" eaLnBrk="1" fontAlgn="auto" latinLnBrk="0" hangingPunct="1">
            <a:lnSpc>
              <a:spcPct val="100000"/>
            </a:lnSpc>
            <a:spcBef>
              <a:spcPts val="0"/>
            </a:spcBef>
            <a:spcAft>
              <a:spcPts val="0"/>
            </a:spcAft>
            <a:buClrTx/>
            <a:buSzTx/>
            <a:buFontTx/>
            <a:buNone/>
            <a:tabLst/>
            <a:defRPr sz="1000"/>
          </a:pPr>
          <a:r>
            <a:rPr lang="fr-FR" sz="100" b="0" i="0" u="none" strike="noStrike" baseline="0">
              <a:solidFill>
                <a:srgbClr val="000000"/>
              </a:solidFill>
              <a:latin typeface="Arial"/>
              <a:cs typeface="Arial"/>
            </a:rPr>
            <a:t>2</a:t>
          </a:r>
        </a:p>
        <a:p>
          <a:pPr marL="0" marR="0" indent="0" algn="ctr" defTabSz="914400" rtl="0" eaLnBrk="1" fontAlgn="auto" latinLnBrk="0" hangingPunct="1">
            <a:lnSpc>
              <a:spcPct val="100000"/>
            </a:lnSpc>
            <a:spcBef>
              <a:spcPts val="0"/>
            </a:spcBef>
            <a:spcAft>
              <a:spcPts val="0"/>
            </a:spcAft>
            <a:buClrTx/>
            <a:buSzTx/>
            <a:buFontTx/>
            <a:buNone/>
            <a:tabLst/>
            <a:defRPr sz="1000"/>
          </a:pPr>
          <a:endParaRPr lang="fr-FR" sz="100" b="0" i="0" u="none" strike="noStrike" baseline="0">
            <a:solidFill>
              <a:srgbClr val="000000"/>
            </a:solidFill>
            <a:latin typeface="Arial"/>
            <a:cs typeface="Arial"/>
          </a:endParaRPr>
        </a:p>
      </xdr:txBody>
    </xdr:sp>
    <xdr:clientData/>
  </xdr:twoCellAnchor>
  <xdr:twoCellAnchor editAs="oneCell">
    <xdr:from>
      <xdr:col>5</xdr:col>
      <xdr:colOff>73027</xdr:colOff>
      <xdr:row>135</xdr:row>
      <xdr:rowOff>181278</xdr:rowOff>
    </xdr:from>
    <xdr:to>
      <xdr:col>5</xdr:col>
      <xdr:colOff>342901</xdr:colOff>
      <xdr:row>137</xdr:row>
      <xdr:rowOff>771</xdr:rowOff>
    </xdr:to>
    <xdr:pic>
      <xdr:nvPicPr>
        <xdr:cNvPr id="8717" name="Picture 3597" descr="D:\Users\fabien\AppData\Local\Microsoft\Windows\Temporary Internet Files\Content.IE5\8HU3AUAG\MC900433883[1].png"/>
        <xdr:cNvPicPr>
          <a:picLocks noChangeAspect="1" noChangeArrowheads="1"/>
        </xdr:cNvPicPr>
      </xdr:nvPicPr>
      <xdr:blipFill>
        <a:blip xmlns:r="http://schemas.openxmlformats.org/officeDocument/2006/relationships" r:embed="rId1" cstate="print"/>
        <a:srcRect/>
        <a:stretch>
          <a:fillRect/>
        </a:stretch>
      </xdr:blipFill>
      <xdr:spPr bwMode="auto">
        <a:xfrm>
          <a:off x="5226052" y="32347203"/>
          <a:ext cx="269874" cy="270343"/>
        </a:xfrm>
        <a:prstGeom prst="rect">
          <a:avLst/>
        </a:prstGeom>
        <a:noFill/>
      </xdr:spPr>
    </xdr:pic>
    <xdr:clientData/>
  </xdr:twoCellAnchor>
  <xdr:twoCellAnchor editAs="oneCell">
    <xdr:from>
      <xdr:col>0</xdr:col>
      <xdr:colOff>75410</xdr:colOff>
      <xdr:row>290</xdr:row>
      <xdr:rowOff>128180</xdr:rowOff>
    </xdr:from>
    <xdr:to>
      <xdr:col>0</xdr:col>
      <xdr:colOff>404813</xdr:colOff>
      <xdr:row>292</xdr:row>
      <xdr:rowOff>3947</xdr:rowOff>
    </xdr:to>
    <xdr:pic>
      <xdr:nvPicPr>
        <xdr:cNvPr id="14" name="Picture 3597" descr="D:\Users\fabien\AppData\Local\Microsoft\Windows\Temporary Internet Files\Content.IE5\8HU3AUAG\MC900433883[1].png"/>
        <xdr:cNvPicPr>
          <a:picLocks noChangeAspect="1" noChangeArrowheads="1"/>
        </xdr:cNvPicPr>
      </xdr:nvPicPr>
      <xdr:blipFill>
        <a:blip xmlns:r="http://schemas.openxmlformats.org/officeDocument/2006/relationships" r:embed="rId1" cstate="print"/>
        <a:srcRect/>
        <a:stretch>
          <a:fillRect/>
        </a:stretch>
      </xdr:blipFill>
      <xdr:spPr bwMode="auto">
        <a:xfrm>
          <a:off x="75410" y="65338711"/>
          <a:ext cx="329403" cy="328205"/>
        </a:xfrm>
        <a:prstGeom prst="rect">
          <a:avLst/>
        </a:prstGeom>
        <a:noFill/>
      </xdr:spPr>
    </xdr:pic>
    <xdr:clientData/>
  </xdr:twoCellAnchor>
  <xdr:twoCellAnchor editAs="oneCell">
    <xdr:from>
      <xdr:col>6</xdr:col>
      <xdr:colOff>169068</xdr:colOff>
      <xdr:row>456</xdr:row>
      <xdr:rowOff>62066</xdr:rowOff>
    </xdr:from>
    <xdr:to>
      <xdr:col>6</xdr:col>
      <xdr:colOff>439905</xdr:colOff>
      <xdr:row>457</xdr:row>
      <xdr:rowOff>214312</xdr:rowOff>
    </xdr:to>
    <xdr:pic>
      <xdr:nvPicPr>
        <xdr:cNvPr id="16" name="Picture 3597" descr="D:\Users\fabien\AppData\Local\Microsoft\Windows\Temporary Internet Files\Content.IE5\8HU3AUAG\MC900433883[1].png"/>
        <xdr:cNvPicPr>
          <a:picLocks noChangeAspect="1" noChangeArrowheads="1"/>
        </xdr:cNvPicPr>
      </xdr:nvPicPr>
      <xdr:blipFill>
        <a:blip xmlns:r="http://schemas.openxmlformats.org/officeDocument/2006/relationships" r:embed="rId1" cstate="print"/>
        <a:srcRect/>
        <a:stretch>
          <a:fillRect/>
        </a:stretch>
      </xdr:blipFill>
      <xdr:spPr bwMode="auto">
        <a:xfrm>
          <a:off x="6276974" y="101336629"/>
          <a:ext cx="270837" cy="271308"/>
        </a:xfrm>
        <a:prstGeom prst="rect">
          <a:avLst/>
        </a:prstGeom>
        <a:noFill/>
      </xdr:spPr>
    </xdr:pic>
    <xdr:clientData/>
  </xdr:twoCellAnchor>
  <xdr:twoCellAnchor>
    <xdr:from>
      <xdr:col>2</xdr:col>
      <xdr:colOff>800100</xdr:colOff>
      <xdr:row>470</xdr:row>
      <xdr:rowOff>76200</xdr:rowOff>
    </xdr:from>
    <xdr:to>
      <xdr:col>10</xdr:col>
      <xdr:colOff>177800</xdr:colOff>
      <xdr:row>485</xdr:row>
      <xdr:rowOff>76200</xdr:rowOff>
    </xdr:to>
    <xdr:sp macro="" textlink="">
      <xdr:nvSpPr>
        <xdr:cNvPr id="19" name="Rectangle à coins arrondis 18"/>
        <xdr:cNvSpPr/>
      </xdr:nvSpPr>
      <xdr:spPr>
        <a:xfrm>
          <a:off x="2114550" y="105594150"/>
          <a:ext cx="8188325" cy="3867150"/>
        </a:xfrm>
        <a:prstGeom prst="roundRect">
          <a:avLst/>
        </a:prstGeom>
        <a:noFill/>
        <a:ln>
          <a:solidFill>
            <a:schemeClr val="tx2"/>
          </a:solidFill>
        </a:ln>
        <a:effectLst>
          <a:glow rad="63500">
            <a:schemeClr val="bg1">
              <a:lumMod val="75000"/>
              <a:alpha val="40000"/>
            </a:schemeClr>
          </a:glo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fr-FR" sz="1100"/>
            <a:t>c</a:t>
          </a:r>
        </a:p>
      </xdr:txBody>
    </xdr:sp>
    <xdr:clientData/>
  </xdr:twoCellAnchor>
  <xdr:twoCellAnchor>
    <xdr:from>
      <xdr:col>2</xdr:col>
      <xdr:colOff>800100</xdr:colOff>
      <xdr:row>503</xdr:row>
      <xdr:rowOff>123825</xdr:rowOff>
    </xdr:from>
    <xdr:to>
      <xdr:col>10</xdr:col>
      <xdr:colOff>177800</xdr:colOff>
      <xdr:row>525</xdr:row>
      <xdr:rowOff>126999</xdr:rowOff>
    </xdr:to>
    <xdr:sp macro="" textlink="">
      <xdr:nvSpPr>
        <xdr:cNvPr id="20" name="Rectangle à coins arrondis 19"/>
        <xdr:cNvSpPr/>
      </xdr:nvSpPr>
      <xdr:spPr>
        <a:xfrm>
          <a:off x="2114550" y="114042825"/>
          <a:ext cx="8188325" cy="6565899"/>
        </a:xfrm>
        <a:prstGeom prst="roundRect">
          <a:avLst/>
        </a:prstGeom>
        <a:noFill/>
        <a:ln>
          <a:solidFill>
            <a:schemeClr val="tx2"/>
          </a:solidFill>
        </a:ln>
        <a:effectLst>
          <a:glow rad="63500">
            <a:schemeClr val="bg1">
              <a:lumMod val="75000"/>
              <a:alpha val="40000"/>
            </a:schemeClr>
          </a:glo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fr-FR" sz="1100"/>
            <a:t>c</a:t>
          </a:r>
        </a:p>
      </xdr:txBody>
    </xdr:sp>
    <xdr:clientData/>
  </xdr:twoCellAnchor>
  <xdr:twoCellAnchor>
    <xdr:from>
      <xdr:col>2</xdr:col>
      <xdr:colOff>800100</xdr:colOff>
      <xdr:row>534</xdr:row>
      <xdr:rowOff>31750</xdr:rowOff>
    </xdr:from>
    <xdr:to>
      <xdr:col>10</xdr:col>
      <xdr:colOff>177800</xdr:colOff>
      <xdr:row>547</xdr:row>
      <xdr:rowOff>190500</xdr:rowOff>
    </xdr:to>
    <xdr:sp macro="" textlink="">
      <xdr:nvSpPr>
        <xdr:cNvPr id="21" name="Rectangle à coins arrondis 20"/>
        <xdr:cNvSpPr/>
      </xdr:nvSpPr>
      <xdr:spPr>
        <a:xfrm>
          <a:off x="2911475" y="116173250"/>
          <a:ext cx="7807325" cy="3032125"/>
        </a:xfrm>
        <a:prstGeom prst="roundRect">
          <a:avLst/>
        </a:prstGeom>
        <a:noFill/>
        <a:ln>
          <a:solidFill>
            <a:schemeClr val="tx2"/>
          </a:solidFill>
        </a:ln>
        <a:effectLst>
          <a:glow rad="63500">
            <a:schemeClr val="bg1">
              <a:lumMod val="75000"/>
              <a:alpha val="40000"/>
            </a:schemeClr>
          </a:glo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fr-FR" sz="1100"/>
            <a:t>c</a:t>
          </a:r>
        </a:p>
      </xdr:txBody>
    </xdr:sp>
    <xdr:clientData/>
  </xdr:twoCellAnchor>
  <xdr:twoCellAnchor editAs="oneCell">
    <xdr:from>
      <xdr:col>6</xdr:col>
      <xdr:colOff>133254</xdr:colOff>
      <xdr:row>434</xdr:row>
      <xdr:rowOff>0</xdr:rowOff>
    </xdr:from>
    <xdr:to>
      <xdr:col>6</xdr:col>
      <xdr:colOff>444499</xdr:colOff>
      <xdr:row>435</xdr:row>
      <xdr:rowOff>23813</xdr:rowOff>
    </xdr:to>
    <xdr:pic>
      <xdr:nvPicPr>
        <xdr:cNvPr id="22" name="Picture 3597" descr="D:\Users\fabien\AppData\Local\Microsoft\Windows\Temporary Internet Files\Content.IE5\8HU3AUAG\MC900433883[1].png"/>
        <xdr:cNvPicPr>
          <a:picLocks noChangeAspect="1" noChangeArrowheads="1"/>
        </xdr:cNvPicPr>
      </xdr:nvPicPr>
      <xdr:blipFill>
        <a:blip xmlns:r="http://schemas.openxmlformats.org/officeDocument/2006/relationships" r:embed="rId1" cstate="print"/>
        <a:srcRect/>
        <a:stretch>
          <a:fillRect/>
        </a:stretch>
      </xdr:blipFill>
      <xdr:spPr bwMode="auto">
        <a:xfrm>
          <a:off x="6241160" y="95881031"/>
          <a:ext cx="311245" cy="309563"/>
        </a:xfrm>
        <a:prstGeom prst="rect">
          <a:avLst/>
        </a:prstGeom>
        <a:noFill/>
      </xdr:spPr>
    </xdr:pic>
    <xdr:clientData/>
  </xdr:twoCellAnchor>
  <xdr:twoCellAnchor>
    <xdr:from>
      <xdr:col>2</xdr:col>
      <xdr:colOff>800100</xdr:colOff>
      <xdr:row>459</xdr:row>
      <xdr:rowOff>130175</xdr:rowOff>
    </xdr:from>
    <xdr:to>
      <xdr:col>7</xdr:col>
      <xdr:colOff>158750</xdr:colOff>
      <xdr:row>464</xdr:row>
      <xdr:rowOff>98425</xdr:rowOff>
    </xdr:to>
    <xdr:sp macro="" textlink="">
      <xdr:nvSpPr>
        <xdr:cNvPr id="23" name="Rectangle à coins arrondis 22"/>
        <xdr:cNvSpPr/>
      </xdr:nvSpPr>
      <xdr:spPr>
        <a:xfrm>
          <a:off x="2109788" y="101976238"/>
          <a:ext cx="5323681" cy="1099343"/>
        </a:xfrm>
        <a:prstGeom prst="roundRect">
          <a:avLst/>
        </a:prstGeom>
        <a:noFill/>
        <a:ln>
          <a:solidFill>
            <a:schemeClr val="tx2"/>
          </a:solidFill>
        </a:ln>
        <a:effectLst>
          <a:glow rad="63500">
            <a:schemeClr val="bg1">
              <a:lumMod val="75000"/>
              <a:alpha val="40000"/>
            </a:schemeClr>
          </a:glo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fr-FR" sz="1100"/>
            <a:t>c</a:t>
          </a:r>
        </a:p>
      </xdr:txBody>
    </xdr:sp>
    <xdr:clientData/>
  </xdr:twoCellAnchor>
  <xdr:twoCellAnchor>
    <xdr:from>
      <xdr:col>1</xdr:col>
      <xdr:colOff>3175</xdr:colOff>
      <xdr:row>562</xdr:row>
      <xdr:rowOff>31750</xdr:rowOff>
    </xdr:from>
    <xdr:to>
      <xdr:col>12</xdr:col>
      <xdr:colOff>390525</xdr:colOff>
      <xdr:row>589</xdr:row>
      <xdr:rowOff>174625</xdr:rowOff>
    </xdr:to>
    <xdr:sp macro="" textlink="">
      <xdr:nvSpPr>
        <xdr:cNvPr id="24" name="Rectangle à coins arrondis 23"/>
        <xdr:cNvSpPr/>
      </xdr:nvSpPr>
      <xdr:spPr>
        <a:xfrm>
          <a:off x="469900" y="129924175"/>
          <a:ext cx="11655425" cy="7038975"/>
        </a:xfrm>
        <a:prstGeom prst="roundRect">
          <a:avLst/>
        </a:prstGeom>
        <a:noFill/>
        <a:ln>
          <a:solidFill>
            <a:schemeClr val="tx2"/>
          </a:solidFill>
        </a:ln>
        <a:effectLst>
          <a:glow rad="63500">
            <a:schemeClr val="bg1">
              <a:lumMod val="75000"/>
              <a:alpha val="40000"/>
            </a:schemeClr>
          </a:glo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fr-FR" sz="1100"/>
            <a:t>c</a:t>
          </a:r>
        </a:p>
      </xdr:txBody>
    </xdr:sp>
    <xdr:clientData/>
  </xdr:twoCellAnchor>
  <xdr:twoCellAnchor editAs="oneCell">
    <xdr:from>
      <xdr:col>5</xdr:col>
      <xdr:colOff>38100</xdr:colOff>
      <xdr:row>133</xdr:row>
      <xdr:rowOff>31753</xdr:rowOff>
    </xdr:from>
    <xdr:to>
      <xdr:col>5</xdr:col>
      <xdr:colOff>307974</xdr:colOff>
      <xdr:row>133</xdr:row>
      <xdr:rowOff>308934</xdr:rowOff>
    </xdr:to>
    <xdr:pic>
      <xdr:nvPicPr>
        <xdr:cNvPr id="189" name="Picture 3597" descr="D:\Users\fabien\AppData\Local\Microsoft\Windows\Temporary Internet Files\Content.IE5\8HU3AUAG\MC900433883[1].png"/>
        <xdr:cNvPicPr>
          <a:picLocks noChangeAspect="1" noChangeArrowheads="1"/>
        </xdr:cNvPicPr>
      </xdr:nvPicPr>
      <xdr:blipFill>
        <a:blip xmlns:r="http://schemas.openxmlformats.org/officeDocument/2006/relationships" r:embed="rId1" cstate="print"/>
        <a:srcRect/>
        <a:stretch>
          <a:fillRect/>
        </a:stretch>
      </xdr:blipFill>
      <xdr:spPr bwMode="auto">
        <a:xfrm>
          <a:off x="4776177" y="31671849"/>
          <a:ext cx="269874" cy="277181"/>
        </a:xfrm>
        <a:prstGeom prst="rect">
          <a:avLst/>
        </a:prstGeom>
        <a:noFill/>
      </xdr:spPr>
    </xdr:pic>
    <xdr:clientData/>
  </xdr:twoCellAnchor>
  <xdr:twoCellAnchor>
    <xdr:from>
      <xdr:col>0</xdr:col>
      <xdr:colOff>314325</xdr:colOff>
      <xdr:row>0</xdr:row>
      <xdr:rowOff>202406</xdr:rowOff>
    </xdr:from>
    <xdr:to>
      <xdr:col>12</xdr:col>
      <xdr:colOff>28575</xdr:colOff>
      <xdr:row>3</xdr:row>
      <xdr:rowOff>142874</xdr:rowOff>
    </xdr:to>
    <xdr:sp macro="" textlink="">
      <xdr:nvSpPr>
        <xdr:cNvPr id="192" name="Rectangle à coins arrondis 191"/>
        <xdr:cNvSpPr/>
      </xdr:nvSpPr>
      <xdr:spPr>
        <a:xfrm>
          <a:off x="314325" y="202406"/>
          <a:ext cx="11596688" cy="1047749"/>
        </a:xfrm>
        <a:prstGeom prst="roundRect">
          <a:avLst/>
        </a:prstGeom>
        <a:solidFill>
          <a:schemeClr val="tx1">
            <a:lumMod val="75000"/>
            <a:alpha val="31000"/>
          </a:schemeClr>
        </a:solidFill>
        <a:ln>
          <a:no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solidFill>
              <a:schemeClr val="tx1"/>
            </a:solidFill>
          </a:endParaRPr>
        </a:p>
      </xdr:txBody>
    </xdr:sp>
    <xdr:clientData/>
  </xdr:twoCellAnchor>
  <xdr:twoCellAnchor>
    <xdr:from>
      <xdr:col>2</xdr:col>
      <xdr:colOff>15875</xdr:colOff>
      <xdr:row>20</xdr:row>
      <xdr:rowOff>76200</xdr:rowOff>
    </xdr:from>
    <xdr:to>
      <xdr:col>11</xdr:col>
      <xdr:colOff>15876</xdr:colOff>
      <xdr:row>22</xdr:row>
      <xdr:rowOff>209550</xdr:rowOff>
    </xdr:to>
    <xdr:sp macro="" textlink="">
      <xdr:nvSpPr>
        <xdr:cNvPr id="195" name="Rectangle à coins arrondis 194"/>
        <xdr:cNvSpPr/>
      </xdr:nvSpPr>
      <xdr:spPr>
        <a:xfrm>
          <a:off x="1206500" y="4838700"/>
          <a:ext cx="9350376" cy="593725"/>
        </a:xfrm>
        <a:prstGeom prst="roundRect">
          <a:avLst/>
        </a:prstGeom>
        <a:solidFill>
          <a:schemeClr val="tx1">
            <a:lumMod val="75000"/>
            <a:alpha val="31000"/>
          </a:schemeClr>
        </a:solidFill>
        <a:ln>
          <a:no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solidFill>
              <a:schemeClr val="tx1"/>
            </a:solidFill>
          </a:endParaRPr>
        </a:p>
      </xdr:txBody>
    </xdr:sp>
    <xdr:clientData/>
  </xdr:twoCellAnchor>
  <xdr:twoCellAnchor>
    <xdr:from>
      <xdr:col>0</xdr:col>
      <xdr:colOff>371476</xdr:colOff>
      <xdr:row>4</xdr:row>
      <xdr:rowOff>114300</xdr:rowOff>
    </xdr:from>
    <xdr:to>
      <xdr:col>5</xdr:col>
      <xdr:colOff>1281114</xdr:colOff>
      <xdr:row>6</xdr:row>
      <xdr:rowOff>57150</xdr:rowOff>
    </xdr:to>
    <xdr:sp macro="" textlink="">
      <xdr:nvSpPr>
        <xdr:cNvPr id="201" name="Rectangle à coins arrondis 200"/>
        <xdr:cNvSpPr/>
      </xdr:nvSpPr>
      <xdr:spPr>
        <a:xfrm>
          <a:off x="371476" y="1388269"/>
          <a:ext cx="5481638" cy="335756"/>
        </a:xfrm>
        <a:prstGeom prst="roundRect">
          <a:avLst/>
        </a:prstGeom>
        <a:solidFill>
          <a:schemeClr val="bg2">
            <a:lumMod val="50000"/>
            <a:alpha val="31000"/>
          </a:schemeClr>
        </a:solidFill>
        <a:ln>
          <a:noFill/>
        </a:ln>
        <a:scene3d>
          <a:camera prst="orthographicFront"/>
          <a:lightRig rig="threePt" dir="t"/>
        </a:scene3d>
        <a:sp3d prstMaterial="dkEdge">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solidFill>
              <a:schemeClr val="tx1"/>
            </a:solidFill>
          </a:endParaRPr>
        </a:p>
      </xdr:txBody>
    </xdr:sp>
    <xdr:clientData/>
  </xdr:twoCellAnchor>
  <xdr:twoCellAnchor>
    <xdr:from>
      <xdr:col>7</xdr:col>
      <xdr:colOff>0</xdr:colOff>
      <xdr:row>4</xdr:row>
      <xdr:rowOff>114300</xdr:rowOff>
    </xdr:from>
    <xdr:to>
      <xdr:col>12</xdr:col>
      <xdr:colOff>38100</xdr:colOff>
      <xdr:row>6</xdr:row>
      <xdr:rowOff>76200</xdr:rowOff>
    </xdr:to>
    <xdr:sp macro="" textlink="">
      <xdr:nvSpPr>
        <xdr:cNvPr id="202" name="Rectangle à coins arrondis 201"/>
        <xdr:cNvSpPr/>
      </xdr:nvSpPr>
      <xdr:spPr>
        <a:xfrm>
          <a:off x="6981825" y="1390650"/>
          <a:ext cx="4438650" cy="352425"/>
        </a:xfrm>
        <a:prstGeom prst="roundRect">
          <a:avLst/>
        </a:prstGeom>
        <a:solidFill>
          <a:schemeClr val="bg2">
            <a:lumMod val="50000"/>
            <a:alpha val="31000"/>
          </a:schemeClr>
        </a:solidFill>
        <a:ln>
          <a:noFill/>
        </a:ln>
        <a:scene3d>
          <a:camera prst="orthographicFront"/>
          <a:lightRig rig="threePt" dir="t"/>
        </a:scene3d>
        <a:sp3d prstMaterial="dkEdge">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solidFill>
              <a:schemeClr val="tx1"/>
            </a:solidFill>
          </a:endParaRPr>
        </a:p>
      </xdr:txBody>
    </xdr:sp>
    <xdr:clientData/>
  </xdr:twoCellAnchor>
  <xdr:twoCellAnchor>
    <xdr:from>
      <xdr:col>3</xdr:col>
      <xdr:colOff>0</xdr:colOff>
      <xdr:row>33</xdr:row>
      <xdr:rowOff>152400</xdr:rowOff>
    </xdr:from>
    <xdr:to>
      <xdr:col>10</xdr:col>
      <xdr:colOff>15875</xdr:colOff>
      <xdr:row>35</xdr:row>
      <xdr:rowOff>41275</xdr:rowOff>
    </xdr:to>
    <xdr:sp macro="" textlink="">
      <xdr:nvSpPr>
        <xdr:cNvPr id="203" name="Rectangle à coins arrondis 202"/>
        <xdr:cNvSpPr/>
      </xdr:nvSpPr>
      <xdr:spPr>
        <a:xfrm>
          <a:off x="2152650" y="8439150"/>
          <a:ext cx="7635875" cy="346075"/>
        </a:xfrm>
        <a:prstGeom prst="roundRect">
          <a:avLst/>
        </a:prstGeom>
        <a:solidFill>
          <a:srgbClr val="006600">
            <a:alpha val="30980"/>
          </a:srgbClr>
        </a:solidFill>
        <a:ln>
          <a:no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solidFill>
              <a:schemeClr val="tx1"/>
            </a:solidFill>
          </a:endParaRPr>
        </a:p>
      </xdr:txBody>
    </xdr:sp>
    <xdr:clientData/>
  </xdr:twoCellAnchor>
  <xdr:twoCellAnchor>
    <xdr:from>
      <xdr:col>3</xdr:col>
      <xdr:colOff>15875</xdr:colOff>
      <xdr:row>99</xdr:row>
      <xdr:rowOff>142874</xdr:rowOff>
    </xdr:from>
    <xdr:to>
      <xdr:col>10</xdr:col>
      <xdr:colOff>63500</xdr:colOff>
      <xdr:row>101</xdr:row>
      <xdr:rowOff>63499</xdr:rowOff>
    </xdr:to>
    <xdr:sp macro="" textlink="">
      <xdr:nvSpPr>
        <xdr:cNvPr id="196" name="Rectangle à coins arrondis 195"/>
        <xdr:cNvSpPr/>
      </xdr:nvSpPr>
      <xdr:spPr>
        <a:xfrm>
          <a:off x="2159000" y="23002874"/>
          <a:ext cx="7683500" cy="365125"/>
        </a:xfrm>
        <a:prstGeom prst="roundRect">
          <a:avLst/>
        </a:prstGeom>
        <a:solidFill>
          <a:srgbClr val="006600">
            <a:alpha val="30980"/>
          </a:srgbClr>
        </a:solidFill>
        <a:ln>
          <a:no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solidFill>
              <a:schemeClr val="tx1"/>
            </a:solidFill>
          </a:endParaRPr>
        </a:p>
      </xdr:txBody>
    </xdr:sp>
    <xdr:clientData/>
  </xdr:twoCellAnchor>
  <xdr:twoCellAnchor>
    <xdr:from>
      <xdr:col>2</xdr:col>
      <xdr:colOff>889000</xdr:colOff>
      <xdr:row>115</xdr:row>
      <xdr:rowOff>142875</xdr:rowOff>
    </xdr:from>
    <xdr:to>
      <xdr:col>9</xdr:col>
      <xdr:colOff>746125</xdr:colOff>
      <xdr:row>117</xdr:row>
      <xdr:rowOff>63500</xdr:rowOff>
    </xdr:to>
    <xdr:sp macro="" textlink="">
      <xdr:nvSpPr>
        <xdr:cNvPr id="197" name="Rectangle à coins arrondis 196"/>
        <xdr:cNvSpPr/>
      </xdr:nvSpPr>
      <xdr:spPr>
        <a:xfrm>
          <a:off x="2079625" y="26558875"/>
          <a:ext cx="7683500" cy="365125"/>
        </a:xfrm>
        <a:prstGeom prst="roundRect">
          <a:avLst/>
        </a:prstGeom>
        <a:solidFill>
          <a:srgbClr val="006600">
            <a:alpha val="30980"/>
          </a:srgbClr>
        </a:solidFill>
        <a:ln>
          <a:no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solidFill>
              <a:schemeClr val="tx1"/>
            </a:solidFill>
          </a:endParaRPr>
        </a:p>
      </xdr:txBody>
    </xdr:sp>
    <xdr:clientData/>
  </xdr:twoCellAnchor>
  <xdr:twoCellAnchor>
    <xdr:from>
      <xdr:col>2</xdr:col>
      <xdr:colOff>889000</xdr:colOff>
      <xdr:row>138</xdr:row>
      <xdr:rowOff>158750</xdr:rowOff>
    </xdr:from>
    <xdr:to>
      <xdr:col>9</xdr:col>
      <xdr:colOff>746125</xdr:colOff>
      <xdr:row>140</xdr:row>
      <xdr:rowOff>79375</xdr:rowOff>
    </xdr:to>
    <xdr:sp macro="" textlink="">
      <xdr:nvSpPr>
        <xdr:cNvPr id="199" name="Rectangle à coins arrondis 198"/>
        <xdr:cNvSpPr/>
      </xdr:nvSpPr>
      <xdr:spPr>
        <a:xfrm>
          <a:off x="2079625" y="31242000"/>
          <a:ext cx="7683500" cy="365125"/>
        </a:xfrm>
        <a:prstGeom prst="roundRect">
          <a:avLst/>
        </a:prstGeom>
        <a:solidFill>
          <a:srgbClr val="006600">
            <a:alpha val="30980"/>
          </a:srgbClr>
        </a:solidFill>
        <a:ln>
          <a:no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solidFill>
              <a:schemeClr val="tx1"/>
            </a:solidFill>
          </a:endParaRPr>
        </a:p>
      </xdr:txBody>
    </xdr:sp>
    <xdr:clientData/>
  </xdr:twoCellAnchor>
  <xdr:twoCellAnchor>
    <xdr:from>
      <xdr:col>3</xdr:col>
      <xdr:colOff>0</xdr:colOff>
      <xdr:row>159</xdr:row>
      <xdr:rowOff>142875</xdr:rowOff>
    </xdr:from>
    <xdr:to>
      <xdr:col>10</xdr:col>
      <xdr:colOff>47625</xdr:colOff>
      <xdr:row>161</xdr:row>
      <xdr:rowOff>63500</xdr:rowOff>
    </xdr:to>
    <xdr:sp macro="" textlink="">
      <xdr:nvSpPr>
        <xdr:cNvPr id="200" name="Rectangle à coins arrondis 199"/>
        <xdr:cNvSpPr/>
      </xdr:nvSpPr>
      <xdr:spPr>
        <a:xfrm>
          <a:off x="2143125" y="35893375"/>
          <a:ext cx="7683500" cy="365125"/>
        </a:xfrm>
        <a:prstGeom prst="roundRect">
          <a:avLst/>
        </a:prstGeom>
        <a:solidFill>
          <a:srgbClr val="006600">
            <a:alpha val="30980"/>
          </a:srgbClr>
        </a:solidFill>
        <a:ln>
          <a:no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solidFill>
              <a:schemeClr val="tx1"/>
            </a:solidFill>
          </a:endParaRPr>
        </a:p>
      </xdr:txBody>
    </xdr:sp>
    <xdr:clientData/>
  </xdr:twoCellAnchor>
  <xdr:twoCellAnchor>
    <xdr:from>
      <xdr:col>1</xdr:col>
      <xdr:colOff>825500</xdr:colOff>
      <xdr:row>210</xdr:row>
      <xdr:rowOff>47625</xdr:rowOff>
    </xdr:from>
    <xdr:to>
      <xdr:col>10</xdr:col>
      <xdr:colOff>746126</xdr:colOff>
      <xdr:row>212</xdr:row>
      <xdr:rowOff>180975</xdr:rowOff>
    </xdr:to>
    <xdr:sp macro="" textlink="">
      <xdr:nvSpPr>
        <xdr:cNvPr id="205" name="Rectangle à coins arrondis 204"/>
        <xdr:cNvSpPr/>
      </xdr:nvSpPr>
      <xdr:spPr>
        <a:xfrm>
          <a:off x="1174750" y="45005625"/>
          <a:ext cx="9350376" cy="593725"/>
        </a:xfrm>
        <a:prstGeom prst="roundRect">
          <a:avLst/>
        </a:prstGeom>
        <a:solidFill>
          <a:schemeClr val="tx1">
            <a:lumMod val="75000"/>
            <a:alpha val="31000"/>
          </a:schemeClr>
        </a:solidFill>
        <a:ln>
          <a:no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solidFill>
              <a:schemeClr val="tx1"/>
            </a:solidFill>
          </a:endParaRPr>
        </a:p>
      </xdr:txBody>
    </xdr:sp>
    <xdr:clientData/>
  </xdr:twoCellAnchor>
  <xdr:twoCellAnchor>
    <xdr:from>
      <xdr:col>2</xdr:col>
      <xdr:colOff>936625</xdr:colOff>
      <xdr:row>216</xdr:row>
      <xdr:rowOff>174625</xdr:rowOff>
    </xdr:from>
    <xdr:to>
      <xdr:col>10</xdr:col>
      <xdr:colOff>31750</xdr:colOff>
      <xdr:row>218</xdr:row>
      <xdr:rowOff>95250</xdr:rowOff>
    </xdr:to>
    <xdr:sp macro="" textlink="">
      <xdr:nvSpPr>
        <xdr:cNvPr id="206" name="Rectangle à coins arrondis 205"/>
        <xdr:cNvSpPr/>
      </xdr:nvSpPr>
      <xdr:spPr>
        <a:xfrm>
          <a:off x="2127250" y="46402625"/>
          <a:ext cx="7683500" cy="365125"/>
        </a:xfrm>
        <a:prstGeom prst="roundRect">
          <a:avLst/>
        </a:prstGeom>
        <a:solidFill>
          <a:srgbClr val="CC6600">
            <a:alpha val="30980"/>
          </a:srgbClr>
        </a:solidFill>
        <a:ln>
          <a:no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solidFill>
              <a:schemeClr val="tx1"/>
            </a:solidFill>
          </a:endParaRPr>
        </a:p>
      </xdr:txBody>
    </xdr:sp>
    <xdr:clientData/>
  </xdr:twoCellAnchor>
  <xdr:twoCellAnchor>
    <xdr:from>
      <xdr:col>2</xdr:col>
      <xdr:colOff>936625</xdr:colOff>
      <xdr:row>271</xdr:row>
      <xdr:rowOff>158750</xdr:rowOff>
    </xdr:from>
    <xdr:to>
      <xdr:col>10</xdr:col>
      <xdr:colOff>31750</xdr:colOff>
      <xdr:row>273</xdr:row>
      <xdr:rowOff>79375</xdr:rowOff>
    </xdr:to>
    <xdr:sp macro="" textlink="">
      <xdr:nvSpPr>
        <xdr:cNvPr id="207" name="Rectangle à coins arrondis 206"/>
        <xdr:cNvSpPr/>
      </xdr:nvSpPr>
      <xdr:spPr>
        <a:xfrm>
          <a:off x="2127250" y="59785250"/>
          <a:ext cx="7683500" cy="365125"/>
        </a:xfrm>
        <a:prstGeom prst="roundRect">
          <a:avLst/>
        </a:prstGeom>
        <a:solidFill>
          <a:srgbClr val="CC6600">
            <a:alpha val="30980"/>
          </a:srgbClr>
        </a:solidFill>
        <a:ln>
          <a:no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solidFill>
              <a:schemeClr val="tx1"/>
            </a:solidFill>
          </a:endParaRPr>
        </a:p>
      </xdr:txBody>
    </xdr:sp>
    <xdr:clientData/>
  </xdr:twoCellAnchor>
  <xdr:twoCellAnchor>
    <xdr:from>
      <xdr:col>3</xdr:col>
      <xdr:colOff>0</xdr:colOff>
      <xdr:row>288</xdr:row>
      <xdr:rowOff>158750</xdr:rowOff>
    </xdr:from>
    <xdr:to>
      <xdr:col>10</xdr:col>
      <xdr:colOff>47625</xdr:colOff>
      <xdr:row>290</xdr:row>
      <xdr:rowOff>79375</xdr:rowOff>
    </xdr:to>
    <xdr:sp macro="" textlink="">
      <xdr:nvSpPr>
        <xdr:cNvPr id="208" name="Rectangle à coins arrondis 207"/>
        <xdr:cNvSpPr/>
      </xdr:nvSpPr>
      <xdr:spPr>
        <a:xfrm>
          <a:off x="2143125" y="63563500"/>
          <a:ext cx="7683500" cy="365125"/>
        </a:xfrm>
        <a:prstGeom prst="roundRect">
          <a:avLst/>
        </a:prstGeom>
        <a:solidFill>
          <a:srgbClr val="CC6600">
            <a:alpha val="30980"/>
          </a:srgbClr>
        </a:solidFill>
        <a:ln>
          <a:no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solidFill>
              <a:schemeClr val="tx1"/>
            </a:solidFill>
          </a:endParaRPr>
        </a:p>
      </xdr:txBody>
    </xdr:sp>
    <xdr:clientData/>
  </xdr:twoCellAnchor>
  <xdr:twoCellAnchor>
    <xdr:from>
      <xdr:col>3</xdr:col>
      <xdr:colOff>0</xdr:colOff>
      <xdr:row>395</xdr:row>
      <xdr:rowOff>95250</xdr:rowOff>
    </xdr:from>
    <xdr:to>
      <xdr:col>10</xdr:col>
      <xdr:colOff>47625</xdr:colOff>
      <xdr:row>397</xdr:row>
      <xdr:rowOff>79375</xdr:rowOff>
    </xdr:to>
    <xdr:sp macro="" textlink="">
      <xdr:nvSpPr>
        <xdr:cNvPr id="209" name="Rectangle à coins arrondis 208"/>
        <xdr:cNvSpPr/>
      </xdr:nvSpPr>
      <xdr:spPr>
        <a:xfrm>
          <a:off x="2143125" y="84788375"/>
          <a:ext cx="7683500" cy="365125"/>
        </a:xfrm>
        <a:prstGeom prst="roundRect">
          <a:avLst/>
        </a:prstGeom>
        <a:solidFill>
          <a:srgbClr val="CC6600">
            <a:alpha val="30980"/>
          </a:srgbClr>
        </a:solidFill>
        <a:ln>
          <a:no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solidFill>
              <a:schemeClr val="tx1"/>
            </a:solidFill>
          </a:endParaRPr>
        </a:p>
      </xdr:txBody>
    </xdr:sp>
    <xdr:clientData/>
  </xdr:twoCellAnchor>
  <xdr:twoCellAnchor>
    <xdr:from>
      <xdr:col>3</xdr:col>
      <xdr:colOff>0</xdr:colOff>
      <xdr:row>465</xdr:row>
      <xdr:rowOff>333375</xdr:rowOff>
    </xdr:from>
    <xdr:to>
      <xdr:col>10</xdr:col>
      <xdr:colOff>47625</xdr:colOff>
      <xdr:row>467</xdr:row>
      <xdr:rowOff>79375</xdr:rowOff>
    </xdr:to>
    <xdr:sp macro="" textlink="">
      <xdr:nvSpPr>
        <xdr:cNvPr id="210" name="Rectangle à coins arrondis 209"/>
        <xdr:cNvSpPr/>
      </xdr:nvSpPr>
      <xdr:spPr>
        <a:xfrm>
          <a:off x="2266950" y="104470200"/>
          <a:ext cx="7905750" cy="441325"/>
        </a:xfrm>
        <a:prstGeom prst="roundRect">
          <a:avLst/>
        </a:prstGeom>
        <a:solidFill>
          <a:srgbClr val="CC6600">
            <a:alpha val="30980"/>
          </a:srgbClr>
        </a:solidFill>
        <a:ln>
          <a:no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solidFill>
              <a:schemeClr val="tx1"/>
            </a:solidFill>
          </a:endParaRPr>
        </a:p>
      </xdr:txBody>
    </xdr:sp>
    <xdr:clientData/>
  </xdr:twoCellAnchor>
  <xdr:twoCellAnchor>
    <xdr:from>
      <xdr:col>3</xdr:col>
      <xdr:colOff>0</xdr:colOff>
      <xdr:row>487</xdr:row>
      <xdr:rowOff>158750</xdr:rowOff>
    </xdr:from>
    <xdr:to>
      <xdr:col>10</xdr:col>
      <xdr:colOff>47625</xdr:colOff>
      <xdr:row>489</xdr:row>
      <xdr:rowOff>79375</xdr:rowOff>
    </xdr:to>
    <xdr:sp macro="" textlink="">
      <xdr:nvSpPr>
        <xdr:cNvPr id="211" name="Rectangle à coins arrondis 210"/>
        <xdr:cNvSpPr/>
      </xdr:nvSpPr>
      <xdr:spPr>
        <a:xfrm>
          <a:off x="2143125" y="104203500"/>
          <a:ext cx="7683500" cy="365125"/>
        </a:xfrm>
        <a:prstGeom prst="roundRect">
          <a:avLst/>
        </a:prstGeom>
        <a:solidFill>
          <a:srgbClr val="CC6600">
            <a:alpha val="30000"/>
          </a:srgbClr>
        </a:solidFill>
        <a:ln>
          <a:no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solidFill>
              <a:schemeClr val="tx1"/>
            </a:solidFill>
          </a:endParaRPr>
        </a:p>
      </xdr:txBody>
    </xdr:sp>
    <xdr:clientData/>
  </xdr:twoCellAnchor>
  <xdr:twoCellAnchor>
    <xdr:from>
      <xdr:col>3</xdr:col>
      <xdr:colOff>0</xdr:colOff>
      <xdr:row>530</xdr:row>
      <xdr:rowOff>158750</xdr:rowOff>
    </xdr:from>
    <xdr:to>
      <xdr:col>10</xdr:col>
      <xdr:colOff>47625</xdr:colOff>
      <xdr:row>532</xdr:row>
      <xdr:rowOff>79375</xdr:rowOff>
    </xdr:to>
    <xdr:sp macro="" textlink="">
      <xdr:nvSpPr>
        <xdr:cNvPr id="212" name="Rectangle à coins arrondis 211"/>
        <xdr:cNvSpPr/>
      </xdr:nvSpPr>
      <xdr:spPr>
        <a:xfrm>
          <a:off x="2143125" y="115649375"/>
          <a:ext cx="7683500" cy="365125"/>
        </a:xfrm>
        <a:prstGeom prst="roundRect">
          <a:avLst/>
        </a:prstGeom>
        <a:solidFill>
          <a:srgbClr val="CC6600">
            <a:alpha val="31000"/>
          </a:srgbClr>
        </a:solidFill>
        <a:ln>
          <a:no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solidFill>
              <a:schemeClr val="tx1"/>
            </a:solidFill>
          </a:endParaRPr>
        </a:p>
      </xdr:txBody>
    </xdr:sp>
    <xdr:clientData/>
  </xdr:twoCellAnchor>
  <xdr:twoCellAnchor>
    <xdr:from>
      <xdr:col>2</xdr:col>
      <xdr:colOff>0</xdr:colOff>
      <xdr:row>559</xdr:row>
      <xdr:rowOff>396875</xdr:rowOff>
    </xdr:from>
    <xdr:to>
      <xdr:col>11</xdr:col>
      <xdr:colOff>1</xdr:colOff>
      <xdr:row>561</xdr:row>
      <xdr:rowOff>196850</xdr:rowOff>
    </xdr:to>
    <xdr:sp macro="" textlink="">
      <xdr:nvSpPr>
        <xdr:cNvPr id="213" name="Rectangle à coins arrondis 212"/>
        <xdr:cNvSpPr/>
      </xdr:nvSpPr>
      <xdr:spPr>
        <a:xfrm>
          <a:off x="1190625" y="122142250"/>
          <a:ext cx="9350376" cy="593725"/>
        </a:xfrm>
        <a:prstGeom prst="roundRect">
          <a:avLst/>
        </a:prstGeom>
        <a:solidFill>
          <a:schemeClr val="tx1">
            <a:lumMod val="75000"/>
            <a:alpha val="31000"/>
          </a:schemeClr>
        </a:solidFill>
        <a:ln>
          <a:no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solidFill>
              <a:schemeClr val="tx1"/>
            </a:solidFill>
          </a:endParaRPr>
        </a:p>
      </xdr:txBody>
    </xdr:sp>
    <xdr:clientData/>
  </xdr:twoCellAnchor>
  <xdr:twoCellAnchor>
    <xdr:from>
      <xdr:col>6</xdr:col>
      <xdr:colOff>552450</xdr:colOff>
      <xdr:row>69</xdr:row>
      <xdr:rowOff>200025</xdr:rowOff>
    </xdr:from>
    <xdr:to>
      <xdr:col>7</xdr:col>
      <xdr:colOff>0</xdr:colOff>
      <xdr:row>71</xdr:row>
      <xdr:rowOff>19050</xdr:rowOff>
    </xdr:to>
    <xdr:sp macro="" textlink="">
      <xdr:nvSpPr>
        <xdr:cNvPr id="214" name="Rectangle 213"/>
        <xdr:cNvSpPr/>
      </xdr:nvSpPr>
      <xdr:spPr>
        <a:xfrm>
          <a:off x="6372225" y="16468725"/>
          <a:ext cx="609600" cy="276225"/>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clientData/>
  </xdr:twoCellAnchor>
  <xdr:twoCellAnchor>
    <xdr:from>
      <xdr:col>5</xdr:col>
      <xdr:colOff>1357312</xdr:colOff>
      <xdr:row>143</xdr:row>
      <xdr:rowOff>0</xdr:rowOff>
    </xdr:from>
    <xdr:to>
      <xdr:col>7</xdr:col>
      <xdr:colOff>52387</xdr:colOff>
      <xdr:row>144</xdr:row>
      <xdr:rowOff>28575</xdr:rowOff>
    </xdr:to>
    <xdr:sp macro="" textlink="">
      <xdr:nvSpPr>
        <xdr:cNvPr id="217" name="Rectangle à coins arrondis 216"/>
        <xdr:cNvSpPr/>
      </xdr:nvSpPr>
      <xdr:spPr>
        <a:xfrm>
          <a:off x="5815012" y="33499425"/>
          <a:ext cx="1219200" cy="257175"/>
        </a:xfrm>
        <a:prstGeom prst="roundRect">
          <a:avLst/>
        </a:prstGeom>
        <a:solidFill>
          <a:schemeClr val="bg2">
            <a:lumMod val="50000"/>
            <a:alpha val="31000"/>
          </a:schemeClr>
        </a:solidFill>
        <a:ln>
          <a:noFill/>
        </a:ln>
        <a:scene3d>
          <a:camera prst="orthographicFront"/>
          <a:lightRig rig="threePt" dir="t"/>
        </a:scene3d>
        <a:sp3d prstMaterial="dkEdge">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solidFill>
              <a:schemeClr val="tx1"/>
            </a:solidFill>
          </a:endParaRPr>
        </a:p>
      </xdr:txBody>
    </xdr:sp>
    <xdr:clientData/>
  </xdr:twoCellAnchor>
  <xdr:twoCellAnchor>
    <xdr:from>
      <xdr:col>5</xdr:col>
      <xdr:colOff>1357312</xdr:colOff>
      <xdr:row>144</xdr:row>
      <xdr:rowOff>219075</xdr:rowOff>
    </xdr:from>
    <xdr:to>
      <xdr:col>7</xdr:col>
      <xdr:colOff>52387</xdr:colOff>
      <xdr:row>146</xdr:row>
      <xdr:rowOff>19050</xdr:rowOff>
    </xdr:to>
    <xdr:sp macro="" textlink="">
      <xdr:nvSpPr>
        <xdr:cNvPr id="218" name="Rectangle à coins arrondis 217"/>
        <xdr:cNvSpPr/>
      </xdr:nvSpPr>
      <xdr:spPr>
        <a:xfrm>
          <a:off x="5815012" y="33947100"/>
          <a:ext cx="1219200" cy="257175"/>
        </a:xfrm>
        <a:prstGeom prst="roundRect">
          <a:avLst/>
        </a:prstGeom>
        <a:solidFill>
          <a:schemeClr val="bg2">
            <a:lumMod val="50000"/>
            <a:alpha val="31000"/>
          </a:schemeClr>
        </a:solidFill>
        <a:ln>
          <a:noFill/>
        </a:ln>
        <a:scene3d>
          <a:camera prst="orthographicFront"/>
          <a:lightRig rig="threePt" dir="t"/>
        </a:scene3d>
        <a:sp3d prstMaterial="dkEdge">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solidFill>
              <a:schemeClr val="tx1"/>
            </a:solidFill>
          </a:endParaRPr>
        </a:p>
      </xdr:txBody>
    </xdr:sp>
    <xdr:clientData/>
  </xdr:twoCellAnchor>
  <xdr:twoCellAnchor>
    <xdr:from>
      <xdr:col>5</xdr:col>
      <xdr:colOff>1357312</xdr:colOff>
      <xdr:row>146</xdr:row>
      <xdr:rowOff>219075</xdr:rowOff>
    </xdr:from>
    <xdr:to>
      <xdr:col>7</xdr:col>
      <xdr:colOff>52387</xdr:colOff>
      <xdr:row>148</xdr:row>
      <xdr:rowOff>19050</xdr:rowOff>
    </xdr:to>
    <xdr:sp macro="" textlink="">
      <xdr:nvSpPr>
        <xdr:cNvPr id="219" name="Rectangle à coins arrondis 218"/>
        <xdr:cNvSpPr/>
      </xdr:nvSpPr>
      <xdr:spPr>
        <a:xfrm>
          <a:off x="5815012" y="34404300"/>
          <a:ext cx="1219200" cy="257175"/>
        </a:xfrm>
        <a:prstGeom prst="roundRect">
          <a:avLst/>
        </a:prstGeom>
        <a:solidFill>
          <a:schemeClr val="bg2">
            <a:lumMod val="50000"/>
            <a:alpha val="31000"/>
          </a:schemeClr>
        </a:solidFill>
        <a:ln>
          <a:noFill/>
        </a:ln>
        <a:scene3d>
          <a:camera prst="orthographicFront"/>
          <a:lightRig rig="threePt" dir="t"/>
        </a:scene3d>
        <a:sp3d prstMaterial="dkEdge">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solidFill>
              <a:schemeClr val="tx1"/>
            </a:solidFill>
          </a:endParaRPr>
        </a:p>
      </xdr:txBody>
    </xdr:sp>
    <xdr:clientData/>
  </xdr:twoCellAnchor>
  <xdr:twoCellAnchor>
    <xdr:from>
      <xdr:col>5</xdr:col>
      <xdr:colOff>1357312</xdr:colOff>
      <xdr:row>149</xdr:row>
      <xdr:rowOff>200025</xdr:rowOff>
    </xdr:from>
    <xdr:to>
      <xdr:col>7</xdr:col>
      <xdr:colOff>52387</xdr:colOff>
      <xdr:row>151</xdr:row>
      <xdr:rowOff>0</xdr:rowOff>
    </xdr:to>
    <xdr:sp macro="" textlink="">
      <xdr:nvSpPr>
        <xdr:cNvPr id="220" name="Rectangle à coins arrondis 219"/>
        <xdr:cNvSpPr/>
      </xdr:nvSpPr>
      <xdr:spPr>
        <a:xfrm>
          <a:off x="5815012" y="35071050"/>
          <a:ext cx="1219200" cy="257175"/>
        </a:xfrm>
        <a:prstGeom prst="roundRect">
          <a:avLst/>
        </a:prstGeom>
        <a:solidFill>
          <a:schemeClr val="bg2">
            <a:lumMod val="50000"/>
            <a:alpha val="31000"/>
          </a:schemeClr>
        </a:solidFill>
        <a:ln>
          <a:noFill/>
        </a:ln>
        <a:scene3d>
          <a:camera prst="orthographicFront"/>
          <a:lightRig rig="threePt" dir="t"/>
        </a:scene3d>
        <a:sp3d prstMaterial="dkEdge">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solidFill>
              <a:schemeClr val="tx1"/>
            </a:solidFill>
          </a:endParaRPr>
        </a:p>
      </xdr:txBody>
    </xdr:sp>
    <xdr:clientData/>
  </xdr:twoCellAnchor>
  <xdr:twoCellAnchor>
    <xdr:from>
      <xdr:col>5</xdr:col>
      <xdr:colOff>1357312</xdr:colOff>
      <xdr:row>152</xdr:row>
      <xdr:rowOff>209550</xdr:rowOff>
    </xdr:from>
    <xdr:to>
      <xdr:col>7</xdr:col>
      <xdr:colOff>52387</xdr:colOff>
      <xdr:row>154</xdr:row>
      <xdr:rowOff>9525</xdr:rowOff>
    </xdr:to>
    <xdr:sp macro="" textlink="">
      <xdr:nvSpPr>
        <xdr:cNvPr id="221" name="Rectangle à coins arrondis 220"/>
        <xdr:cNvSpPr/>
      </xdr:nvSpPr>
      <xdr:spPr>
        <a:xfrm>
          <a:off x="5815012" y="35766375"/>
          <a:ext cx="1219200" cy="257175"/>
        </a:xfrm>
        <a:prstGeom prst="roundRect">
          <a:avLst/>
        </a:prstGeom>
        <a:solidFill>
          <a:schemeClr val="bg2">
            <a:lumMod val="50000"/>
            <a:alpha val="31000"/>
          </a:schemeClr>
        </a:solidFill>
        <a:ln>
          <a:noFill/>
        </a:ln>
        <a:scene3d>
          <a:camera prst="orthographicFront"/>
          <a:lightRig rig="threePt" dir="t"/>
        </a:scene3d>
        <a:sp3d prstMaterial="dkEdge">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solidFill>
              <a:schemeClr val="tx1"/>
            </a:solidFill>
          </a:endParaRPr>
        </a:p>
      </xdr:txBody>
    </xdr:sp>
    <xdr:clientData/>
  </xdr:twoCellAnchor>
  <xdr:twoCellAnchor>
    <xdr:from>
      <xdr:col>4</xdr:col>
      <xdr:colOff>195262</xdr:colOff>
      <xdr:row>103</xdr:row>
      <xdr:rowOff>209551</xdr:rowOff>
    </xdr:from>
    <xdr:to>
      <xdr:col>5</xdr:col>
      <xdr:colOff>166687</xdr:colOff>
      <xdr:row>105</xdr:row>
      <xdr:rowOff>19051</xdr:rowOff>
    </xdr:to>
    <xdr:sp macro="" textlink="">
      <xdr:nvSpPr>
        <xdr:cNvPr id="222" name="Rectangle à coins arrondis 221"/>
        <xdr:cNvSpPr/>
      </xdr:nvSpPr>
      <xdr:spPr>
        <a:xfrm>
          <a:off x="3405187" y="24536401"/>
          <a:ext cx="1219200" cy="266700"/>
        </a:xfrm>
        <a:prstGeom prst="roundRect">
          <a:avLst/>
        </a:prstGeom>
        <a:solidFill>
          <a:schemeClr val="bg2">
            <a:lumMod val="50000"/>
            <a:alpha val="31000"/>
          </a:schemeClr>
        </a:solidFill>
        <a:ln>
          <a:noFill/>
        </a:ln>
        <a:scene3d>
          <a:camera prst="orthographicFront"/>
          <a:lightRig rig="threePt" dir="t"/>
        </a:scene3d>
        <a:sp3d prstMaterial="dkEdge">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solidFill>
              <a:schemeClr val="tx1"/>
            </a:solidFill>
          </a:endParaRPr>
        </a:p>
      </xdr:txBody>
    </xdr:sp>
    <xdr:clientData/>
  </xdr:twoCellAnchor>
  <xdr:twoCellAnchor>
    <xdr:from>
      <xdr:col>4</xdr:col>
      <xdr:colOff>195262</xdr:colOff>
      <xdr:row>105</xdr:row>
      <xdr:rowOff>209550</xdr:rowOff>
    </xdr:from>
    <xdr:to>
      <xdr:col>5</xdr:col>
      <xdr:colOff>166687</xdr:colOff>
      <xdr:row>107</xdr:row>
      <xdr:rowOff>19050</xdr:rowOff>
    </xdr:to>
    <xdr:sp macro="" textlink="">
      <xdr:nvSpPr>
        <xdr:cNvPr id="226" name="Rectangle à coins arrondis 225"/>
        <xdr:cNvSpPr/>
      </xdr:nvSpPr>
      <xdr:spPr>
        <a:xfrm>
          <a:off x="3405187" y="24993600"/>
          <a:ext cx="1219200" cy="266700"/>
        </a:xfrm>
        <a:prstGeom prst="roundRect">
          <a:avLst/>
        </a:prstGeom>
        <a:solidFill>
          <a:schemeClr val="bg2">
            <a:lumMod val="50000"/>
            <a:alpha val="31000"/>
          </a:schemeClr>
        </a:solidFill>
        <a:ln>
          <a:noFill/>
        </a:ln>
        <a:scene3d>
          <a:camera prst="orthographicFront"/>
          <a:lightRig rig="threePt" dir="t"/>
        </a:scene3d>
        <a:sp3d prstMaterial="dkEdge">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solidFill>
              <a:schemeClr val="tx1"/>
            </a:solidFill>
          </a:endParaRPr>
        </a:p>
      </xdr:txBody>
    </xdr:sp>
    <xdr:clientData/>
  </xdr:twoCellAnchor>
  <xdr:twoCellAnchor>
    <xdr:from>
      <xdr:col>4</xdr:col>
      <xdr:colOff>195262</xdr:colOff>
      <xdr:row>107</xdr:row>
      <xdr:rowOff>209550</xdr:rowOff>
    </xdr:from>
    <xdr:to>
      <xdr:col>5</xdr:col>
      <xdr:colOff>166687</xdr:colOff>
      <xdr:row>109</xdr:row>
      <xdr:rowOff>19050</xdr:rowOff>
    </xdr:to>
    <xdr:sp macro="" textlink="">
      <xdr:nvSpPr>
        <xdr:cNvPr id="227" name="Rectangle à coins arrondis 226"/>
        <xdr:cNvSpPr/>
      </xdr:nvSpPr>
      <xdr:spPr>
        <a:xfrm>
          <a:off x="3405187" y="25450800"/>
          <a:ext cx="1219200" cy="266700"/>
        </a:xfrm>
        <a:prstGeom prst="roundRect">
          <a:avLst/>
        </a:prstGeom>
        <a:solidFill>
          <a:schemeClr val="bg2">
            <a:lumMod val="50000"/>
            <a:alpha val="31000"/>
          </a:schemeClr>
        </a:solidFill>
        <a:ln>
          <a:noFill/>
        </a:ln>
        <a:scene3d>
          <a:camera prst="orthographicFront"/>
          <a:lightRig rig="threePt" dir="t"/>
        </a:scene3d>
        <a:sp3d prstMaterial="dkEdge">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solidFill>
              <a:schemeClr val="tx1"/>
            </a:solidFill>
          </a:endParaRPr>
        </a:p>
      </xdr:txBody>
    </xdr:sp>
    <xdr:clientData/>
  </xdr:twoCellAnchor>
  <xdr:twoCellAnchor>
    <xdr:from>
      <xdr:col>4</xdr:col>
      <xdr:colOff>195262</xdr:colOff>
      <xdr:row>109</xdr:row>
      <xdr:rowOff>200025</xdr:rowOff>
    </xdr:from>
    <xdr:to>
      <xdr:col>5</xdr:col>
      <xdr:colOff>166687</xdr:colOff>
      <xdr:row>111</xdr:row>
      <xdr:rowOff>9525</xdr:rowOff>
    </xdr:to>
    <xdr:sp macro="" textlink="">
      <xdr:nvSpPr>
        <xdr:cNvPr id="228" name="Rectangle à coins arrondis 227"/>
        <xdr:cNvSpPr/>
      </xdr:nvSpPr>
      <xdr:spPr>
        <a:xfrm>
          <a:off x="3405187" y="25898475"/>
          <a:ext cx="1219200" cy="266700"/>
        </a:xfrm>
        <a:prstGeom prst="roundRect">
          <a:avLst/>
        </a:prstGeom>
        <a:solidFill>
          <a:schemeClr val="bg2">
            <a:lumMod val="50000"/>
            <a:alpha val="31000"/>
          </a:schemeClr>
        </a:solidFill>
        <a:ln>
          <a:noFill/>
        </a:ln>
        <a:scene3d>
          <a:camera prst="orthographicFront"/>
          <a:lightRig rig="threePt" dir="t"/>
        </a:scene3d>
        <a:sp3d prstMaterial="dkEdge">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solidFill>
              <a:schemeClr val="tx1"/>
            </a:solidFill>
          </a:endParaRPr>
        </a:p>
      </xdr:txBody>
    </xdr:sp>
    <xdr:clientData/>
  </xdr:twoCellAnchor>
  <xdr:twoCellAnchor>
    <xdr:from>
      <xdr:col>5</xdr:col>
      <xdr:colOff>171450</xdr:colOff>
      <xdr:row>111</xdr:row>
      <xdr:rowOff>161925</xdr:rowOff>
    </xdr:from>
    <xdr:to>
      <xdr:col>5</xdr:col>
      <xdr:colOff>1219200</xdr:colOff>
      <xdr:row>112</xdr:row>
      <xdr:rowOff>123825</xdr:rowOff>
    </xdr:to>
    <xdr:sp macro="" textlink="">
      <xdr:nvSpPr>
        <xdr:cNvPr id="232" name="Rectangle à coins arrondis 231"/>
        <xdr:cNvSpPr/>
      </xdr:nvSpPr>
      <xdr:spPr>
        <a:xfrm>
          <a:off x="4629150" y="26317575"/>
          <a:ext cx="1047750" cy="266700"/>
        </a:xfrm>
        <a:prstGeom prst="roundRect">
          <a:avLst/>
        </a:prstGeom>
        <a:solidFill>
          <a:schemeClr val="bg2">
            <a:lumMod val="50000"/>
            <a:alpha val="31000"/>
          </a:schemeClr>
        </a:solidFill>
        <a:ln>
          <a:noFill/>
        </a:ln>
        <a:scene3d>
          <a:camera prst="orthographicFront"/>
          <a:lightRig rig="threePt" dir="t"/>
        </a:scene3d>
        <a:sp3d prstMaterial="dkEdge">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solidFill>
              <a:schemeClr val="tx1"/>
            </a:solidFill>
          </a:endParaRPr>
        </a:p>
      </xdr:txBody>
    </xdr:sp>
    <xdr:clientData/>
  </xdr:twoCellAnchor>
  <xdr:twoCellAnchor>
    <xdr:from>
      <xdr:col>6</xdr:col>
      <xdr:colOff>1152525</xdr:colOff>
      <xdr:row>111</xdr:row>
      <xdr:rowOff>19050</xdr:rowOff>
    </xdr:from>
    <xdr:to>
      <xdr:col>8</xdr:col>
      <xdr:colOff>180975</xdr:colOff>
      <xdr:row>111</xdr:row>
      <xdr:rowOff>285750</xdr:rowOff>
    </xdr:to>
    <xdr:sp macro="" textlink="">
      <xdr:nvSpPr>
        <xdr:cNvPr id="233" name="Rectangle à coins arrondis 232"/>
        <xdr:cNvSpPr/>
      </xdr:nvSpPr>
      <xdr:spPr>
        <a:xfrm>
          <a:off x="6972300" y="26174700"/>
          <a:ext cx="1028700" cy="266700"/>
        </a:xfrm>
        <a:prstGeom prst="roundRect">
          <a:avLst/>
        </a:prstGeom>
        <a:solidFill>
          <a:schemeClr val="bg2">
            <a:lumMod val="50000"/>
            <a:alpha val="31000"/>
          </a:schemeClr>
        </a:solidFill>
        <a:ln>
          <a:noFill/>
        </a:ln>
        <a:scene3d>
          <a:camera prst="orthographicFront"/>
          <a:lightRig rig="threePt" dir="t"/>
        </a:scene3d>
        <a:sp3d prstMaterial="dkEdge">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solidFill>
              <a:schemeClr val="tx1"/>
            </a:solidFill>
          </a:endParaRPr>
        </a:p>
      </xdr:txBody>
    </xdr:sp>
    <xdr:clientData/>
  </xdr:twoCellAnchor>
  <xdr:twoCellAnchor>
    <xdr:from>
      <xdr:col>6</xdr:col>
      <xdr:colOff>1152525</xdr:colOff>
      <xdr:row>112</xdr:row>
      <xdr:rowOff>9525</xdr:rowOff>
    </xdr:from>
    <xdr:to>
      <xdr:col>8</xdr:col>
      <xdr:colOff>180975</xdr:colOff>
      <xdr:row>112</xdr:row>
      <xdr:rowOff>276225</xdr:rowOff>
    </xdr:to>
    <xdr:sp macro="" textlink="">
      <xdr:nvSpPr>
        <xdr:cNvPr id="234" name="Rectangle à coins arrondis 233"/>
        <xdr:cNvSpPr/>
      </xdr:nvSpPr>
      <xdr:spPr>
        <a:xfrm>
          <a:off x="6972300" y="26469975"/>
          <a:ext cx="1028700" cy="266700"/>
        </a:xfrm>
        <a:prstGeom prst="roundRect">
          <a:avLst/>
        </a:prstGeom>
        <a:solidFill>
          <a:schemeClr val="bg2">
            <a:lumMod val="50000"/>
            <a:alpha val="31000"/>
          </a:schemeClr>
        </a:solidFill>
        <a:ln>
          <a:noFill/>
        </a:ln>
        <a:scene3d>
          <a:camera prst="orthographicFront"/>
          <a:lightRig rig="threePt" dir="t"/>
        </a:scene3d>
        <a:sp3d prstMaterial="dkEdge">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solidFill>
              <a:schemeClr val="tx1"/>
            </a:solidFill>
          </a:endParaRPr>
        </a:p>
      </xdr:txBody>
    </xdr:sp>
    <xdr:clientData/>
  </xdr:twoCellAnchor>
  <xdr:twoCellAnchor>
    <xdr:from>
      <xdr:col>3</xdr:col>
      <xdr:colOff>59530</xdr:colOff>
      <xdr:row>117</xdr:row>
      <xdr:rowOff>219075</xdr:rowOff>
    </xdr:from>
    <xdr:to>
      <xdr:col>3</xdr:col>
      <xdr:colOff>1107280</xdr:colOff>
      <xdr:row>119</xdr:row>
      <xdr:rowOff>28575</xdr:rowOff>
    </xdr:to>
    <xdr:sp macro="" textlink="">
      <xdr:nvSpPr>
        <xdr:cNvPr id="235" name="Rectangle à coins arrondis 234"/>
        <xdr:cNvSpPr/>
      </xdr:nvSpPr>
      <xdr:spPr>
        <a:xfrm>
          <a:off x="2321718" y="27686794"/>
          <a:ext cx="1047750" cy="261937"/>
        </a:xfrm>
        <a:prstGeom prst="roundRect">
          <a:avLst/>
        </a:prstGeom>
        <a:solidFill>
          <a:schemeClr val="bg2">
            <a:lumMod val="50000"/>
            <a:alpha val="31000"/>
          </a:schemeClr>
        </a:solidFill>
        <a:ln>
          <a:noFill/>
        </a:ln>
        <a:scene3d>
          <a:camera prst="orthographicFront"/>
          <a:lightRig rig="threePt" dir="t"/>
        </a:scene3d>
        <a:sp3d prstMaterial="dkEdge">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solidFill>
              <a:schemeClr val="tx1"/>
            </a:solidFill>
          </a:endParaRPr>
        </a:p>
      </xdr:txBody>
    </xdr:sp>
    <xdr:clientData/>
  </xdr:twoCellAnchor>
  <xdr:twoCellAnchor>
    <xdr:from>
      <xdr:col>4</xdr:col>
      <xdr:colOff>0</xdr:colOff>
      <xdr:row>126</xdr:row>
      <xdr:rowOff>0</xdr:rowOff>
    </xdr:from>
    <xdr:to>
      <xdr:col>5</xdr:col>
      <xdr:colOff>19050</xdr:colOff>
      <xdr:row>127</xdr:row>
      <xdr:rowOff>38100</xdr:rowOff>
    </xdr:to>
    <xdr:sp macro="" textlink="">
      <xdr:nvSpPr>
        <xdr:cNvPr id="236" name="Rectangle à coins arrondis 235"/>
        <xdr:cNvSpPr/>
      </xdr:nvSpPr>
      <xdr:spPr>
        <a:xfrm>
          <a:off x="3209925" y="29737050"/>
          <a:ext cx="1266825" cy="266700"/>
        </a:xfrm>
        <a:prstGeom prst="roundRect">
          <a:avLst/>
        </a:prstGeom>
        <a:solidFill>
          <a:schemeClr val="bg2">
            <a:lumMod val="50000"/>
            <a:alpha val="31000"/>
          </a:schemeClr>
        </a:solidFill>
        <a:ln>
          <a:noFill/>
        </a:ln>
        <a:scene3d>
          <a:camera prst="orthographicFront"/>
          <a:lightRig rig="threePt" dir="t"/>
        </a:scene3d>
        <a:sp3d prstMaterial="dkEdge">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solidFill>
              <a:schemeClr val="tx1"/>
            </a:solidFill>
          </a:endParaRPr>
        </a:p>
      </xdr:txBody>
    </xdr:sp>
    <xdr:clientData/>
  </xdr:twoCellAnchor>
  <xdr:twoCellAnchor>
    <xdr:from>
      <xdr:col>4</xdr:col>
      <xdr:colOff>0</xdr:colOff>
      <xdr:row>130</xdr:row>
      <xdr:rowOff>47625</xdr:rowOff>
    </xdr:from>
    <xdr:to>
      <xdr:col>5</xdr:col>
      <xdr:colOff>19050</xdr:colOff>
      <xdr:row>130</xdr:row>
      <xdr:rowOff>314325</xdr:rowOff>
    </xdr:to>
    <xdr:sp macro="" textlink="">
      <xdr:nvSpPr>
        <xdr:cNvPr id="238" name="Rectangle à coins arrondis 237"/>
        <xdr:cNvSpPr/>
      </xdr:nvSpPr>
      <xdr:spPr>
        <a:xfrm>
          <a:off x="3209925" y="30432375"/>
          <a:ext cx="1266825" cy="266700"/>
        </a:xfrm>
        <a:prstGeom prst="roundRect">
          <a:avLst/>
        </a:prstGeom>
        <a:solidFill>
          <a:schemeClr val="bg2">
            <a:lumMod val="50000"/>
            <a:alpha val="31000"/>
          </a:schemeClr>
        </a:solidFill>
        <a:ln>
          <a:noFill/>
        </a:ln>
        <a:scene3d>
          <a:camera prst="orthographicFront"/>
          <a:lightRig rig="threePt" dir="t"/>
        </a:scene3d>
        <a:sp3d prstMaterial="dkEdge">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solidFill>
              <a:schemeClr val="tx1"/>
            </a:solidFill>
          </a:endParaRPr>
        </a:p>
      </xdr:txBody>
    </xdr:sp>
    <xdr:clientData/>
  </xdr:twoCellAnchor>
  <xdr:twoCellAnchor>
    <xdr:from>
      <xdr:col>4</xdr:col>
      <xdr:colOff>0</xdr:colOff>
      <xdr:row>136</xdr:row>
      <xdr:rowOff>0</xdr:rowOff>
    </xdr:from>
    <xdr:to>
      <xdr:col>5</xdr:col>
      <xdr:colOff>19050</xdr:colOff>
      <xdr:row>137</xdr:row>
      <xdr:rowOff>38100</xdr:rowOff>
    </xdr:to>
    <xdr:sp macro="" textlink="">
      <xdr:nvSpPr>
        <xdr:cNvPr id="239" name="Rectangle à coins arrondis 238"/>
        <xdr:cNvSpPr/>
      </xdr:nvSpPr>
      <xdr:spPr>
        <a:xfrm>
          <a:off x="3209925" y="31899225"/>
          <a:ext cx="1266825" cy="266700"/>
        </a:xfrm>
        <a:prstGeom prst="roundRect">
          <a:avLst/>
        </a:prstGeom>
        <a:solidFill>
          <a:schemeClr val="bg2">
            <a:lumMod val="50000"/>
            <a:alpha val="31000"/>
          </a:schemeClr>
        </a:solidFill>
        <a:ln>
          <a:noFill/>
        </a:ln>
        <a:scene3d>
          <a:camera prst="orthographicFront"/>
          <a:lightRig rig="threePt" dir="t"/>
        </a:scene3d>
        <a:sp3d prstMaterial="dkEdge">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solidFill>
              <a:schemeClr val="tx1"/>
            </a:solidFill>
          </a:endParaRPr>
        </a:p>
      </xdr:txBody>
    </xdr:sp>
    <xdr:clientData/>
  </xdr:twoCellAnchor>
  <xdr:twoCellAnchor>
    <xdr:from>
      <xdr:col>5</xdr:col>
      <xdr:colOff>1352549</xdr:colOff>
      <xdr:row>156</xdr:row>
      <xdr:rowOff>0</xdr:rowOff>
    </xdr:from>
    <xdr:to>
      <xdr:col>7</xdr:col>
      <xdr:colOff>19049</xdr:colOff>
      <xdr:row>157</xdr:row>
      <xdr:rowOff>38100</xdr:rowOff>
    </xdr:to>
    <xdr:sp macro="" textlink="">
      <xdr:nvSpPr>
        <xdr:cNvPr id="240" name="Rectangle à coins arrondis 239"/>
        <xdr:cNvSpPr/>
      </xdr:nvSpPr>
      <xdr:spPr>
        <a:xfrm>
          <a:off x="5810249" y="36471225"/>
          <a:ext cx="1190625" cy="266700"/>
        </a:xfrm>
        <a:prstGeom prst="roundRect">
          <a:avLst/>
        </a:prstGeom>
        <a:solidFill>
          <a:schemeClr val="bg2">
            <a:lumMod val="50000"/>
            <a:alpha val="31000"/>
          </a:schemeClr>
        </a:solidFill>
        <a:ln>
          <a:noFill/>
        </a:ln>
        <a:scene3d>
          <a:camera prst="orthographicFront"/>
          <a:lightRig rig="threePt" dir="t"/>
        </a:scene3d>
        <a:sp3d prstMaterial="dkEdge">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solidFill>
              <a:schemeClr val="tx1"/>
            </a:solidFill>
          </a:endParaRPr>
        </a:p>
      </xdr:txBody>
    </xdr:sp>
    <xdr:clientData/>
  </xdr:twoCellAnchor>
  <xdr:twoCellAnchor>
    <xdr:from>
      <xdr:col>6</xdr:col>
      <xdr:colOff>0</xdr:colOff>
      <xdr:row>85</xdr:row>
      <xdr:rowOff>1</xdr:rowOff>
    </xdr:from>
    <xdr:to>
      <xdr:col>7</xdr:col>
      <xdr:colOff>9525</xdr:colOff>
      <xdr:row>85</xdr:row>
      <xdr:rowOff>214313</xdr:rowOff>
    </xdr:to>
    <xdr:sp macro="" textlink="">
      <xdr:nvSpPr>
        <xdr:cNvPr id="241" name="Rectangle à coins arrondis 240"/>
        <xdr:cNvSpPr/>
      </xdr:nvSpPr>
      <xdr:spPr>
        <a:xfrm>
          <a:off x="6107906" y="20038220"/>
          <a:ext cx="1176338" cy="214312"/>
        </a:xfrm>
        <a:prstGeom prst="roundRect">
          <a:avLst/>
        </a:prstGeom>
        <a:solidFill>
          <a:schemeClr val="bg2">
            <a:lumMod val="50000"/>
            <a:alpha val="31000"/>
          </a:schemeClr>
        </a:solidFill>
        <a:ln>
          <a:noFill/>
        </a:ln>
        <a:scene3d>
          <a:camera prst="orthographicFront"/>
          <a:lightRig rig="threePt" dir="t"/>
        </a:scene3d>
        <a:sp3d prstMaterial="dkEdge">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solidFill>
              <a:schemeClr val="tx1"/>
            </a:solidFill>
          </a:endParaRPr>
        </a:p>
      </xdr:txBody>
    </xdr:sp>
    <xdr:clientData/>
  </xdr:twoCellAnchor>
  <xdr:twoCellAnchor>
    <xdr:from>
      <xdr:col>6</xdr:col>
      <xdr:colOff>1</xdr:colOff>
      <xdr:row>72</xdr:row>
      <xdr:rowOff>0</xdr:rowOff>
    </xdr:from>
    <xdr:to>
      <xdr:col>7</xdr:col>
      <xdr:colOff>1</xdr:colOff>
      <xdr:row>73</xdr:row>
      <xdr:rowOff>11906</xdr:rowOff>
    </xdr:to>
    <xdr:sp macro="" textlink="">
      <xdr:nvSpPr>
        <xdr:cNvPr id="242" name="Rectangle à coins arrondis 241"/>
        <xdr:cNvSpPr/>
      </xdr:nvSpPr>
      <xdr:spPr>
        <a:xfrm>
          <a:off x="6107907" y="16823531"/>
          <a:ext cx="1166813" cy="238125"/>
        </a:xfrm>
        <a:prstGeom prst="roundRect">
          <a:avLst/>
        </a:prstGeom>
        <a:solidFill>
          <a:schemeClr val="bg2">
            <a:lumMod val="50000"/>
            <a:alpha val="31000"/>
          </a:schemeClr>
        </a:solidFill>
        <a:ln>
          <a:noFill/>
        </a:ln>
        <a:scene3d>
          <a:camera prst="orthographicFront"/>
          <a:lightRig rig="threePt" dir="t"/>
        </a:scene3d>
        <a:sp3d prstMaterial="dkEdge">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solidFill>
              <a:schemeClr val="tx1"/>
            </a:solidFill>
          </a:endParaRPr>
        </a:p>
      </xdr:txBody>
    </xdr:sp>
    <xdr:clientData/>
  </xdr:twoCellAnchor>
  <xdr:twoCellAnchor>
    <xdr:from>
      <xdr:col>11</xdr:col>
      <xdr:colOff>35718</xdr:colOff>
      <xdr:row>72</xdr:row>
      <xdr:rowOff>9526</xdr:rowOff>
    </xdr:from>
    <xdr:to>
      <xdr:col>12</xdr:col>
      <xdr:colOff>19051</xdr:colOff>
      <xdr:row>73</xdr:row>
      <xdr:rowOff>11907</xdr:rowOff>
    </xdr:to>
    <xdr:sp macro="" textlink="">
      <xdr:nvSpPr>
        <xdr:cNvPr id="243" name="Rectangle à coins arrondis 242"/>
        <xdr:cNvSpPr/>
      </xdr:nvSpPr>
      <xdr:spPr>
        <a:xfrm>
          <a:off x="11251406" y="16833057"/>
          <a:ext cx="828676" cy="228600"/>
        </a:xfrm>
        <a:prstGeom prst="roundRect">
          <a:avLst/>
        </a:prstGeom>
        <a:solidFill>
          <a:schemeClr val="bg2">
            <a:lumMod val="50000"/>
            <a:alpha val="31000"/>
          </a:schemeClr>
        </a:solidFill>
        <a:ln>
          <a:noFill/>
        </a:ln>
        <a:scene3d>
          <a:camera prst="orthographicFront"/>
          <a:lightRig rig="threePt" dir="t"/>
        </a:scene3d>
        <a:sp3d prstMaterial="dkEdge">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solidFill>
              <a:schemeClr val="tx1"/>
            </a:solidFill>
          </a:endParaRPr>
        </a:p>
      </xdr:txBody>
    </xdr:sp>
    <xdr:clientData/>
  </xdr:twoCellAnchor>
  <xdr:twoCellAnchor>
    <xdr:from>
      <xdr:col>11</xdr:col>
      <xdr:colOff>1</xdr:colOff>
      <xdr:row>61</xdr:row>
      <xdr:rowOff>0</xdr:rowOff>
    </xdr:from>
    <xdr:to>
      <xdr:col>12</xdr:col>
      <xdr:colOff>28576</xdr:colOff>
      <xdr:row>62</xdr:row>
      <xdr:rowOff>38100</xdr:rowOff>
    </xdr:to>
    <xdr:sp macro="" textlink="">
      <xdr:nvSpPr>
        <xdr:cNvPr id="244" name="Rectangle à coins arrondis 243"/>
        <xdr:cNvSpPr/>
      </xdr:nvSpPr>
      <xdr:spPr>
        <a:xfrm>
          <a:off x="10534651" y="14439900"/>
          <a:ext cx="876300" cy="266700"/>
        </a:xfrm>
        <a:prstGeom prst="roundRect">
          <a:avLst/>
        </a:prstGeom>
        <a:solidFill>
          <a:schemeClr val="bg2">
            <a:lumMod val="50000"/>
            <a:alpha val="31000"/>
          </a:schemeClr>
        </a:solidFill>
        <a:ln>
          <a:noFill/>
        </a:ln>
        <a:scene3d>
          <a:camera prst="orthographicFront"/>
          <a:lightRig rig="threePt" dir="t"/>
        </a:scene3d>
        <a:sp3d prstMaterial="dkEdge">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solidFill>
              <a:schemeClr val="tx1"/>
            </a:solidFill>
          </a:endParaRPr>
        </a:p>
      </xdr:txBody>
    </xdr:sp>
    <xdr:clientData/>
  </xdr:twoCellAnchor>
  <xdr:twoCellAnchor>
    <xdr:from>
      <xdr:col>11</xdr:col>
      <xdr:colOff>1</xdr:colOff>
      <xdr:row>60</xdr:row>
      <xdr:rowOff>0</xdr:rowOff>
    </xdr:from>
    <xdr:to>
      <xdr:col>12</xdr:col>
      <xdr:colOff>28576</xdr:colOff>
      <xdr:row>61</xdr:row>
      <xdr:rowOff>38100</xdr:rowOff>
    </xdr:to>
    <xdr:sp macro="" textlink="">
      <xdr:nvSpPr>
        <xdr:cNvPr id="245" name="Rectangle à coins arrondis 244"/>
        <xdr:cNvSpPr/>
      </xdr:nvSpPr>
      <xdr:spPr>
        <a:xfrm>
          <a:off x="10534651" y="14211300"/>
          <a:ext cx="876300" cy="266700"/>
        </a:xfrm>
        <a:prstGeom prst="roundRect">
          <a:avLst/>
        </a:prstGeom>
        <a:solidFill>
          <a:schemeClr val="bg2">
            <a:lumMod val="50000"/>
            <a:alpha val="31000"/>
          </a:schemeClr>
        </a:solidFill>
        <a:ln>
          <a:noFill/>
        </a:ln>
        <a:scene3d>
          <a:camera prst="orthographicFront"/>
          <a:lightRig rig="threePt" dir="t"/>
        </a:scene3d>
        <a:sp3d prstMaterial="dkEdge">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solidFill>
              <a:schemeClr val="tx1"/>
            </a:solidFill>
          </a:endParaRPr>
        </a:p>
      </xdr:txBody>
    </xdr:sp>
    <xdr:clientData/>
  </xdr:twoCellAnchor>
  <xdr:twoCellAnchor>
    <xdr:from>
      <xdr:col>7</xdr:col>
      <xdr:colOff>1</xdr:colOff>
      <xdr:row>60</xdr:row>
      <xdr:rowOff>0</xdr:rowOff>
    </xdr:from>
    <xdr:to>
      <xdr:col>8</xdr:col>
      <xdr:colOff>0</xdr:colOff>
      <xdr:row>61</xdr:row>
      <xdr:rowOff>9525</xdr:rowOff>
    </xdr:to>
    <xdr:sp macro="" textlink="">
      <xdr:nvSpPr>
        <xdr:cNvPr id="246" name="Rectangle à coins arrondis 245"/>
        <xdr:cNvSpPr/>
      </xdr:nvSpPr>
      <xdr:spPr>
        <a:xfrm>
          <a:off x="6981826" y="14211300"/>
          <a:ext cx="838199" cy="238125"/>
        </a:xfrm>
        <a:prstGeom prst="roundRect">
          <a:avLst/>
        </a:prstGeom>
        <a:solidFill>
          <a:schemeClr val="bg2">
            <a:lumMod val="50000"/>
            <a:alpha val="31000"/>
          </a:schemeClr>
        </a:solidFill>
        <a:ln>
          <a:noFill/>
        </a:ln>
        <a:scene3d>
          <a:camera prst="orthographicFront"/>
          <a:lightRig rig="threePt" dir="t"/>
        </a:scene3d>
        <a:sp3d prstMaterial="dkEdge">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solidFill>
              <a:schemeClr val="tx1"/>
            </a:solidFill>
          </a:endParaRPr>
        </a:p>
      </xdr:txBody>
    </xdr:sp>
    <xdr:clientData/>
  </xdr:twoCellAnchor>
  <xdr:twoCellAnchor>
    <xdr:from>
      <xdr:col>7</xdr:col>
      <xdr:colOff>0</xdr:colOff>
      <xdr:row>42</xdr:row>
      <xdr:rowOff>228599</xdr:rowOff>
    </xdr:from>
    <xdr:to>
      <xdr:col>11</xdr:col>
      <xdr:colOff>0</xdr:colOff>
      <xdr:row>44</xdr:row>
      <xdr:rowOff>19050</xdr:rowOff>
    </xdr:to>
    <xdr:sp macro="" textlink="">
      <xdr:nvSpPr>
        <xdr:cNvPr id="247" name="Rectangle à coins arrondis 246"/>
        <xdr:cNvSpPr/>
      </xdr:nvSpPr>
      <xdr:spPr>
        <a:xfrm>
          <a:off x="6981825" y="10325099"/>
          <a:ext cx="3552825" cy="247651"/>
        </a:xfrm>
        <a:prstGeom prst="roundRect">
          <a:avLst/>
        </a:prstGeom>
        <a:solidFill>
          <a:schemeClr val="bg2">
            <a:lumMod val="50000"/>
            <a:alpha val="31000"/>
          </a:schemeClr>
        </a:solidFill>
        <a:ln>
          <a:noFill/>
        </a:ln>
        <a:scene3d>
          <a:camera prst="orthographicFront"/>
          <a:lightRig rig="threePt" dir="t"/>
        </a:scene3d>
        <a:sp3d prstMaterial="dkEdge">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solidFill>
              <a:schemeClr val="tx1"/>
            </a:solidFill>
          </a:endParaRPr>
        </a:p>
      </xdr:txBody>
    </xdr:sp>
    <xdr:clientData/>
  </xdr:twoCellAnchor>
  <xdr:twoCellAnchor>
    <xdr:from>
      <xdr:col>1</xdr:col>
      <xdr:colOff>838200</xdr:colOff>
      <xdr:row>43</xdr:row>
      <xdr:rowOff>9525</xdr:rowOff>
    </xdr:from>
    <xdr:to>
      <xdr:col>6</xdr:col>
      <xdr:colOff>0</xdr:colOff>
      <xdr:row>44</xdr:row>
      <xdr:rowOff>9525</xdr:rowOff>
    </xdr:to>
    <xdr:sp macro="" textlink="">
      <xdr:nvSpPr>
        <xdr:cNvPr id="248" name="Rectangle à coins arrondis 247"/>
        <xdr:cNvSpPr/>
      </xdr:nvSpPr>
      <xdr:spPr>
        <a:xfrm>
          <a:off x="1190625" y="10334625"/>
          <a:ext cx="4629150" cy="228600"/>
        </a:xfrm>
        <a:prstGeom prst="roundRect">
          <a:avLst/>
        </a:prstGeom>
        <a:solidFill>
          <a:schemeClr val="bg2">
            <a:lumMod val="50000"/>
            <a:alpha val="31000"/>
          </a:schemeClr>
        </a:solidFill>
        <a:ln>
          <a:noFill/>
        </a:ln>
        <a:scene3d>
          <a:camera prst="orthographicFront"/>
          <a:lightRig rig="threePt" dir="t"/>
        </a:scene3d>
        <a:sp3d prstMaterial="dkEdge">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solidFill>
              <a:schemeClr val="tx1"/>
            </a:solidFill>
          </a:endParaRPr>
        </a:p>
      </xdr:txBody>
    </xdr:sp>
    <xdr:clientData/>
  </xdr:twoCellAnchor>
  <xdr:twoCellAnchor>
    <xdr:from>
      <xdr:col>5</xdr:col>
      <xdr:colOff>0</xdr:colOff>
      <xdr:row>16</xdr:row>
      <xdr:rowOff>0</xdr:rowOff>
    </xdr:from>
    <xdr:to>
      <xdr:col>6</xdr:col>
      <xdr:colOff>0</xdr:colOff>
      <xdr:row>17</xdr:row>
      <xdr:rowOff>38100</xdr:rowOff>
    </xdr:to>
    <xdr:sp macro="" textlink="">
      <xdr:nvSpPr>
        <xdr:cNvPr id="250" name="Rectangle à coins arrondis 249"/>
        <xdr:cNvSpPr/>
      </xdr:nvSpPr>
      <xdr:spPr>
        <a:xfrm>
          <a:off x="4457700" y="3952875"/>
          <a:ext cx="1362075" cy="266700"/>
        </a:xfrm>
        <a:prstGeom prst="roundRect">
          <a:avLst/>
        </a:prstGeom>
        <a:solidFill>
          <a:schemeClr val="bg2">
            <a:lumMod val="50000"/>
            <a:alpha val="31000"/>
          </a:schemeClr>
        </a:solidFill>
        <a:ln>
          <a:noFill/>
        </a:ln>
        <a:scene3d>
          <a:camera prst="orthographicFront"/>
          <a:lightRig rig="threePt" dir="t"/>
        </a:scene3d>
        <a:sp3d prstMaterial="dkEdge">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solidFill>
              <a:schemeClr val="tx1"/>
            </a:solidFill>
          </a:endParaRPr>
        </a:p>
      </xdr:txBody>
    </xdr:sp>
    <xdr:clientData/>
  </xdr:twoCellAnchor>
  <xdr:twoCellAnchor>
    <xdr:from>
      <xdr:col>6</xdr:col>
      <xdr:colOff>0</xdr:colOff>
      <xdr:row>165</xdr:row>
      <xdr:rowOff>19050</xdr:rowOff>
    </xdr:from>
    <xdr:to>
      <xdr:col>7</xdr:col>
      <xdr:colOff>57150</xdr:colOff>
      <xdr:row>166</xdr:row>
      <xdr:rowOff>9525</xdr:rowOff>
    </xdr:to>
    <xdr:sp macro="" textlink="">
      <xdr:nvSpPr>
        <xdr:cNvPr id="251" name="Rectangle à coins arrondis 250"/>
        <xdr:cNvSpPr/>
      </xdr:nvSpPr>
      <xdr:spPr>
        <a:xfrm>
          <a:off x="5819775" y="38585775"/>
          <a:ext cx="1219200" cy="257175"/>
        </a:xfrm>
        <a:prstGeom prst="roundRect">
          <a:avLst/>
        </a:prstGeom>
        <a:solidFill>
          <a:schemeClr val="bg2">
            <a:lumMod val="50000"/>
            <a:alpha val="31000"/>
          </a:schemeClr>
        </a:solidFill>
        <a:ln>
          <a:noFill/>
        </a:ln>
        <a:scene3d>
          <a:camera prst="orthographicFront"/>
          <a:lightRig rig="threePt" dir="t"/>
        </a:scene3d>
        <a:sp3d prstMaterial="dkEdge">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solidFill>
              <a:schemeClr val="tx1"/>
            </a:solidFill>
          </a:endParaRPr>
        </a:p>
      </xdr:txBody>
    </xdr:sp>
    <xdr:clientData/>
  </xdr:twoCellAnchor>
  <xdr:twoCellAnchor>
    <xdr:from>
      <xdr:col>6</xdr:col>
      <xdr:colOff>0</xdr:colOff>
      <xdr:row>167</xdr:row>
      <xdr:rowOff>9525</xdr:rowOff>
    </xdr:from>
    <xdr:to>
      <xdr:col>7</xdr:col>
      <xdr:colOff>57150</xdr:colOff>
      <xdr:row>168</xdr:row>
      <xdr:rowOff>0</xdr:rowOff>
    </xdr:to>
    <xdr:sp macro="" textlink="">
      <xdr:nvSpPr>
        <xdr:cNvPr id="252" name="Rectangle à coins arrondis 251"/>
        <xdr:cNvSpPr/>
      </xdr:nvSpPr>
      <xdr:spPr>
        <a:xfrm>
          <a:off x="5819775" y="39109650"/>
          <a:ext cx="1219200" cy="257175"/>
        </a:xfrm>
        <a:prstGeom prst="roundRect">
          <a:avLst/>
        </a:prstGeom>
        <a:solidFill>
          <a:schemeClr val="bg2">
            <a:lumMod val="50000"/>
            <a:alpha val="31000"/>
          </a:schemeClr>
        </a:solidFill>
        <a:ln>
          <a:noFill/>
        </a:ln>
        <a:scene3d>
          <a:camera prst="orthographicFront"/>
          <a:lightRig rig="threePt" dir="t"/>
        </a:scene3d>
        <a:sp3d prstMaterial="dkEdge">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solidFill>
              <a:schemeClr val="tx1"/>
            </a:solidFill>
          </a:endParaRPr>
        </a:p>
      </xdr:txBody>
    </xdr:sp>
    <xdr:clientData/>
  </xdr:twoCellAnchor>
  <xdr:twoCellAnchor>
    <xdr:from>
      <xdr:col>6</xdr:col>
      <xdr:colOff>0</xdr:colOff>
      <xdr:row>169</xdr:row>
      <xdr:rowOff>9525</xdr:rowOff>
    </xdr:from>
    <xdr:to>
      <xdr:col>7</xdr:col>
      <xdr:colOff>57150</xdr:colOff>
      <xdr:row>170</xdr:row>
      <xdr:rowOff>0</xdr:rowOff>
    </xdr:to>
    <xdr:sp macro="" textlink="">
      <xdr:nvSpPr>
        <xdr:cNvPr id="253" name="Rectangle à coins arrondis 252"/>
        <xdr:cNvSpPr/>
      </xdr:nvSpPr>
      <xdr:spPr>
        <a:xfrm>
          <a:off x="5819775" y="39643050"/>
          <a:ext cx="1219200" cy="257175"/>
        </a:xfrm>
        <a:prstGeom prst="roundRect">
          <a:avLst/>
        </a:prstGeom>
        <a:solidFill>
          <a:schemeClr val="bg2">
            <a:lumMod val="50000"/>
            <a:alpha val="31000"/>
          </a:schemeClr>
        </a:solidFill>
        <a:ln>
          <a:noFill/>
        </a:ln>
        <a:scene3d>
          <a:camera prst="orthographicFront"/>
          <a:lightRig rig="threePt" dir="t"/>
        </a:scene3d>
        <a:sp3d prstMaterial="dkEdge">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solidFill>
              <a:schemeClr val="tx1"/>
            </a:solidFill>
          </a:endParaRPr>
        </a:p>
      </xdr:txBody>
    </xdr:sp>
    <xdr:clientData/>
  </xdr:twoCellAnchor>
  <xdr:twoCellAnchor>
    <xdr:from>
      <xdr:col>6</xdr:col>
      <xdr:colOff>0</xdr:colOff>
      <xdr:row>171</xdr:row>
      <xdr:rowOff>95250</xdr:rowOff>
    </xdr:from>
    <xdr:to>
      <xdr:col>7</xdr:col>
      <xdr:colOff>57150</xdr:colOff>
      <xdr:row>171</xdr:row>
      <xdr:rowOff>352425</xdr:rowOff>
    </xdr:to>
    <xdr:sp macro="" textlink="">
      <xdr:nvSpPr>
        <xdr:cNvPr id="254" name="Rectangle à coins arrondis 253"/>
        <xdr:cNvSpPr/>
      </xdr:nvSpPr>
      <xdr:spPr>
        <a:xfrm>
          <a:off x="5819775" y="40262175"/>
          <a:ext cx="1219200" cy="257175"/>
        </a:xfrm>
        <a:prstGeom prst="roundRect">
          <a:avLst/>
        </a:prstGeom>
        <a:solidFill>
          <a:schemeClr val="bg2">
            <a:lumMod val="50000"/>
            <a:alpha val="31000"/>
          </a:schemeClr>
        </a:solidFill>
        <a:ln>
          <a:noFill/>
        </a:ln>
        <a:scene3d>
          <a:camera prst="orthographicFront"/>
          <a:lightRig rig="threePt" dir="t"/>
        </a:scene3d>
        <a:sp3d prstMaterial="dkEdge">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solidFill>
              <a:schemeClr val="tx1"/>
            </a:solidFill>
          </a:endParaRPr>
        </a:p>
      </xdr:txBody>
    </xdr:sp>
    <xdr:clientData/>
  </xdr:twoCellAnchor>
  <xdr:twoCellAnchor>
    <xdr:from>
      <xdr:col>6</xdr:col>
      <xdr:colOff>0</xdr:colOff>
      <xdr:row>177</xdr:row>
      <xdr:rowOff>9525</xdr:rowOff>
    </xdr:from>
    <xdr:to>
      <xdr:col>7</xdr:col>
      <xdr:colOff>57150</xdr:colOff>
      <xdr:row>178</xdr:row>
      <xdr:rowOff>0</xdr:rowOff>
    </xdr:to>
    <xdr:sp macro="" textlink="">
      <xdr:nvSpPr>
        <xdr:cNvPr id="255" name="Rectangle à coins arrondis 254"/>
        <xdr:cNvSpPr/>
      </xdr:nvSpPr>
      <xdr:spPr>
        <a:xfrm>
          <a:off x="5819775" y="41767125"/>
          <a:ext cx="1219200" cy="257175"/>
        </a:xfrm>
        <a:prstGeom prst="roundRect">
          <a:avLst/>
        </a:prstGeom>
        <a:solidFill>
          <a:schemeClr val="bg2">
            <a:lumMod val="50000"/>
            <a:alpha val="31000"/>
          </a:schemeClr>
        </a:solidFill>
        <a:ln>
          <a:noFill/>
        </a:ln>
        <a:scene3d>
          <a:camera prst="orthographicFront"/>
          <a:lightRig rig="threePt" dir="t"/>
        </a:scene3d>
        <a:sp3d prstMaterial="dkEdge">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solidFill>
              <a:schemeClr val="tx1"/>
            </a:solidFill>
          </a:endParaRPr>
        </a:p>
      </xdr:txBody>
    </xdr:sp>
    <xdr:clientData/>
  </xdr:twoCellAnchor>
  <xdr:twoCellAnchor>
    <xdr:from>
      <xdr:col>6</xdr:col>
      <xdr:colOff>0</xdr:colOff>
      <xdr:row>188</xdr:row>
      <xdr:rowOff>19050</xdr:rowOff>
    </xdr:from>
    <xdr:to>
      <xdr:col>7</xdr:col>
      <xdr:colOff>57150</xdr:colOff>
      <xdr:row>189</xdr:row>
      <xdr:rowOff>9525</xdr:rowOff>
    </xdr:to>
    <xdr:sp macro="" textlink="">
      <xdr:nvSpPr>
        <xdr:cNvPr id="257" name="Rectangle à coins arrondis 256"/>
        <xdr:cNvSpPr/>
      </xdr:nvSpPr>
      <xdr:spPr>
        <a:xfrm>
          <a:off x="5819775" y="44443650"/>
          <a:ext cx="1219200" cy="257175"/>
        </a:xfrm>
        <a:prstGeom prst="roundRect">
          <a:avLst/>
        </a:prstGeom>
        <a:solidFill>
          <a:schemeClr val="bg2">
            <a:lumMod val="50000"/>
            <a:alpha val="31000"/>
          </a:schemeClr>
        </a:solidFill>
        <a:ln>
          <a:noFill/>
        </a:ln>
        <a:scene3d>
          <a:camera prst="orthographicFront"/>
          <a:lightRig rig="threePt" dir="t"/>
        </a:scene3d>
        <a:sp3d prstMaterial="dkEdge">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solidFill>
              <a:schemeClr val="tx1"/>
            </a:solidFill>
          </a:endParaRPr>
        </a:p>
      </xdr:txBody>
    </xdr:sp>
    <xdr:clientData/>
  </xdr:twoCellAnchor>
  <xdr:twoCellAnchor>
    <xdr:from>
      <xdr:col>5</xdr:col>
      <xdr:colOff>28575</xdr:colOff>
      <xdr:row>268</xdr:row>
      <xdr:rowOff>0</xdr:rowOff>
    </xdr:from>
    <xdr:to>
      <xdr:col>6</xdr:col>
      <xdr:colOff>19050</xdr:colOff>
      <xdr:row>269</xdr:row>
      <xdr:rowOff>38100</xdr:rowOff>
    </xdr:to>
    <xdr:sp macro="" textlink="">
      <xdr:nvSpPr>
        <xdr:cNvPr id="258" name="Rectangle à coins arrondis 257"/>
        <xdr:cNvSpPr/>
      </xdr:nvSpPr>
      <xdr:spPr>
        <a:xfrm>
          <a:off x="4486275" y="60388500"/>
          <a:ext cx="1352550" cy="266700"/>
        </a:xfrm>
        <a:prstGeom prst="roundRect">
          <a:avLst/>
        </a:prstGeom>
        <a:solidFill>
          <a:schemeClr val="bg2">
            <a:lumMod val="50000"/>
            <a:alpha val="31000"/>
          </a:schemeClr>
        </a:solidFill>
        <a:ln>
          <a:noFill/>
        </a:ln>
        <a:scene3d>
          <a:camera prst="orthographicFront"/>
          <a:lightRig rig="threePt" dir="t"/>
        </a:scene3d>
        <a:sp3d prstMaterial="dkEdge">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solidFill>
              <a:schemeClr val="tx1"/>
            </a:solidFill>
          </a:endParaRPr>
        </a:p>
      </xdr:txBody>
    </xdr:sp>
    <xdr:clientData/>
  </xdr:twoCellAnchor>
  <xdr:twoCellAnchor>
    <xdr:from>
      <xdr:col>5</xdr:col>
      <xdr:colOff>28575</xdr:colOff>
      <xdr:row>262</xdr:row>
      <xdr:rowOff>0</xdr:rowOff>
    </xdr:from>
    <xdr:to>
      <xdr:col>6</xdr:col>
      <xdr:colOff>19050</xdr:colOff>
      <xdr:row>263</xdr:row>
      <xdr:rowOff>38100</xdr:rowOff>
    </xdr:to>
    <xdr:sp macro="" textlink="">
      <xdr:nvSpPr>
        <xdr:cNvPr id="260" name="Rectangle à coins arrondis 259"/>
        <xdr:cNvSpPr/>
      </xdr:nvSpPr>
      <xdr:spPr>
        <a:xfrm>
          <a:off x="4486275" y="59150250"/>
          <a:ext cx="1352550" cy="266700"/>
        </a:xfrm>
        <a:prstGeom prst="roundRect">
          <a:avLst/>
        </a:prstGeom>
        <a:solidFill>
          <a:schemeClr val="bg2">
            <a:lumMod val="50000"/>
            <a:alpha val="31000"/>
          </a:schemeClr>
        </a:solidFill>
        <a:ln>
          <a:noFill/>
        </a:ln>
        <a:scene3d>
          <a:camera prst="orthographicFront"/>
          <a:lightRig rig="threePt" dir="t"/>
        </a:scene3d>
        <a:sp3d prstMaterial="dkEdge">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solidFill>
              <a:schemeClr val="tx1"/>
            </a:solidFill>
          </a:endParaRPr>
        </a:p>
      </xdr:txBody>
    </xdr:sp>
    <xdr:clientData/>
  </xdr:twoCellAnchor>
  <xdr:twoCellAnchor>
    <xdr:from>
      <xdr:col>4</xdr:col>
      <xdr:colOff>0</xdr:colOff>
      <xdr:row>277</xdr:row>
      <xdr:rowOff>0</xdr:rowOff>
    </xdr:from>
    <xdr:to>
      <xdr:col>5</xdr:col>
      <xdr:colOff>104775</xdr:colOff>
      <xdr:row>278</xdr:row>
      <xdr:rowOff>38100</xdr:rowOff>
    </xdr:to>
    <xdr:sp macro="" textlink="">
      <xdr:nvSpPr>
        <xdr:cNvPr id="261" name="Rectangle à coins arrondis 260"/>
        <xdr:cNvSpPr/>
      </xdr:nvSpPr>
      <xdr:spPr>
        <a:xfrm>
          <a:off x="3209925" y="62445900"/>
          <a:ext cx="1352550" cy="266700"/>
        </a:xfrm>
        <a:prstGeom prst="roundRect">
          <a:avLst/>
        </a:prstGeom>
        <a:solidFill>
          <a:schemeClr val="bg2">
            <a:lumMod val="50000"/>
            <a:alpha val="31000"/>
          </a:schemeClr>
        </a:solidFill>
        <a:ln>
          <a:noFill/>
        </a:ln>
        <a:scene3d>
          <a:camera prst="orthographicFront"/>
          <a:lightRig rig="threePt" dir="t"/>
        </a:scene3d>
        <a:sp3d prstMaterial="dkEdge">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solidFill>
              <a:schemeClr val="tx1"/>
            </a:solidFill>
          </a:endParaRPr>
        </a:p>
      </xdr:txBody>
    </xdr:sp>
    <xdr:clientData/>
  </xdr:twoCellAnchor>
  <xdr:twoCellAnchor>
    <xdr:from>
      <xdr:col>4</xdr:col>
      <xdr:colOff>0</xdr:colOff>
      <xdr:row>279</xdr:row>
      <xdr:rowOff>0</xdr:rowOff>
    </xdr:from>
    <xdr:to>
      <xdr:col>5</xdr:col>
      <xdr:colOff>104775</xdr:colOff>
      <xdr:row>280</xdr:row>
      <xdr:rowOff>38100</xdr:rowOff>
    </xdr:to>
    <xdr:sp macro="" textlink="">
      <xdr:nvSpPr>
        <xdr:cNvPr id="262" name="Rectangle à coins arrondis 261"/>
        <xdr:cNvSpPr/>
      </xdr:nvSpPr>
      <xdr:spPr>
        <a:xfrm>
          <a:off x="3209925" y="62903100"/>
          <a:ext cx="1352550" cy="266700"/>
        </a:xfrm>
        <a:prstGeom prst="roundRect">
          <a:avLst/>
        </a:prstGeom>
        <a:solidFill>
          <a:schemeClr val="bg2">
            <a:lumMod val="50000"/>
            <a:alpha val="31000"/>
          </a:schemeClr>
        </a:solidFill>
        <a:ln>
          <a:noFill/>
        </a:ln>
        <a:scene3d>
          <a:camera prst="orthographicFront"/>
          <a:lightRig rig="threePt" dir="t"/>
        </a:scene3d>
        <a:sp3d prstMaterial="dkEdge">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solidFill>
              <a:schemeClr val="tx1"/>
            </a:solidFill>
          </a:endParaRPr>
        </a:p>
      </xdr:txBody>
    </xdr:sp>
    <xdr:clientData/>
  </xdr:twoCellAnchor>
  <xdr:twoCellAnchor>
    <xdr:from>
      <xdr:col>4</xdr:col>
      <xdr:colOff>0</xdr:colOff>
      <xdr:row>281</xdr:row>
      <xdr:rowOff>0</xdr:rowOff>
    </xdr:from>
    <xdr:to>
      <xdr:col>5</xdr:col>
      <xdr:colOff>104775</xdr:colOff>
      <xdr:row>282</xdr:row>
      <xdr:rowOff>38100</xdr:rowOff>
    </xdr:to>
    <xdr:sp macro="" textlink="">
      <xdr:nvSpPr>
        <xdr:cNvPr id="263" name="Rectangle à coins arrondis 262"/>
        <xdr:cNvSpPr/>
      </xdr:nvSpPr>
      <xdr:spPr>
        <a:xfrm>
          <a:off x="3209925" y="63360300"/>
          <a:ext cx="1352550" cy="266700"/>
        </a:xfrm>
        <a:prstGeom prst="roundRect">
          <a:avLst/>
        </a:prstGeom>
        <a:solidFill>
          <a:schemeClr val="bg2">
            <a:lumMod val="50000"/>
            <a:alpha val="31000"/>
          </a:schemeClr>
        </a:solidFill>
        <a:ln>
          <a:noFill/>
        </a:ln>
        <a:scene3d>
          <a:camera prst="orthographicFront"/>
          <a:lightRig rig="threePt" dir="t"/>
        </a:scene3d>
        <a:sp3d prstMaterial="dkEdge">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solidFill>
              <a:schemeClr val="tx1"/>
            </a:solidFill>
          </a:endParaRPr>
        </a:p>
      </xdr:txBody>
    </xdr:sp>
    <xdr:clientData/>
  </xdr:twoCellAnchor>
  <xdr:twoCellAnchor>
    <xdr:from>
      <xdr:col>4</xdr:col>
      <xdr:colOff>0</xdr:colOff>
      <xdr:row>283</xdr:row>
      <xdr:rowOff>0</xdr:rowOff>
    </xdr:from>
    <xdr:to>
      <xdr:col>5</xdr:col>
      <xdr:colOff>104775</xdr:colOff>
      <xdr:row>284</xdr:row>
      <xdr:rowOff>38100</xdr:rowOff>
    </xdr:to>
    <xdr:sp macro="" textlink="">
      <xdr:nvSpPr>
        <xdr:cNvPr id="264" name="Rectangle à coins arrondis 263"/>
        <xdr:cNvSpPr/>
      </xdr:nvSpPr>
      <xdr:spPr>
        <a:xfrm>
          <a:off x="3209925" y="63817500"/>
          <a:ext cx="1352550" cy="266700"/>
        </a:xfrm>
        <a:prstGeom prst="roundRect">
          <a:avLst/>
        </a:prstGeom>
        <a:solidFill>
          <a:schemeClr val="bg2">
            <a:lumMod val="50000"/>
            <a:alpha val="31000"/>
          </a:schemeClr>
        </a:solidFill>
        <a:ln>
          <a:noFill/>
        </a:ln>
        <a:scene3d>
          <a:camera prst="orthographicFront"/>
          <a:lightRig rig="threePt" dir="t"/>
        </a:scene3d>
        <a:sp3d prstMaterial="dkEdge">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solidFill>
              <a:schemeClr val="tx1"/>
            </a:solidFill>
          </a:endParaRPr>
        </a:p>
      </xdr:txBody>
    </xdr:sp>
    <xdr:clientData/>
  </xdr:twoCellAnchor>
  <xdr:twoCellAnchor>
    <xdr:from>
      <xdr:col>5</xdr:col>
      <xdr:colOff>438150</xdr:colOff>
      <xdr:row>284</xdr:row>
      <xdr:rowOff>28575</xdr:rowOff>
    </xdr:from>
    <xdr:to>
      <xdr:col>6</xdr:col>
      <xdr:colOff>28575</xdr:colOff>
      <xdr:row>284</xdr:row>
      <xdr:rowOff>295275</xdr:rowOff>
    </xdr:to>
    <xdr:sp macro="" textlink="">
      <xdr:nvSpPr>
        <xdr:cNvPr id="266" name="Rectangle à coins arrondis 265"/>
        <xdr:cNvSpPr/>
      </xdr:nvSpPr>
      <xdr:spPr>
        <a:xfrm>
          <a:off x="4895850" y="64074675"/>
          <a:ext cx="952500" cy="266700"/>
        </a:xfrm>
        <a:prstGeom prst="roundRect">
          <a:avLst/>
        </a:prstGeom>
        <a:solidFill>
          <a:schemeClr val="bg2">
            <a:lumMod val="50000"/>
            <a:alpha val="31000"/>
          </a:schemeClr>
        </a:solidFill>
        <a:ln>
          <a:noFill/>
        </a:ln>
        <a:scene3d>
          <a:camera prst="orthographicFront"/>
          <a:lightRig rig="threePt" dir="t"/>
        </a:scene3d>
        <a:sp3d prstMaterial="dkEdge">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solidFill>
              <a:schemeClr val="tx1"/>
            </a:solidFill>
          </a:endParaRPr>
        </a:p>
      </xdr:txBody>
    </xdr:sp>
    <xdr:clientData/>
  </xdr:twoCellAnchor>
  <xdr:twoCellAnchor>
    <xdr:from>
      <xdr:col>6</xdr:col>
      <xdr:colOff>1104900</xdr:colOff>
      <xdr:row>284</xdr:row>
      <xdr:rowOff>19050</xdr:rowOff>
    </xdr:from>
    <xdr:to>
      <xdr:col>8</xdr:col>
      <xdr:colOff>57150</xdr:colOff>
      <xdr:row>284</xdr:row>
      <xdr:rowOff>285750</xdr:rowOff>
    </xdr:to>
    <xdr:sp macro="" textlink="">
      <xdr:nvSpPr>
        <xdr:cNvPr id="267" name="Rectangle à coins arrondis 266"/>
        <xdr:cNvSpPr/>
      </xdr:nvSpPr>
      <xdr:spPr>
        <a:xfrm>
          <a:off x="6924675" y="64065150"/>
          <a:ext cx="952500" cy="266700"/>
        </a:xfrm>
        <a:prstGeom prst="roundRect">
          <a:avLst/>
        </a:prstGeom>
        <a:solidFill>
          <a:schemeClr val="bg2">
            <a:lumMod val="50000"/>
            <a:alpha val="31000"/>
          </a:schemeClr>
        </a:solidFill>
        <a:ln>
          <a:noFill/>
        </a:ln>
        <a:scene3d>
          <a:camera prst="orthographicFront"/>
          <a:lightRig rig="threePt" dir="t"/>
        </a:scene3d>
        <a:sp3d prstMaterial="dkEdge">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solidFill>
              <a:schemeClr val="tx1"/>
            </a:solidFill>
          </a:endParaRPr>
        </a:p>
      </xdr:txBody>
    </xdr:sp>
    <xdr:clientData/>
  </xdr:twoCellAnchor>
  <xdr:twoCellAnchor>
    <xdr:from>
      <xdr:col>6</xdr:col>
      <xdr:colOff>1104900</xdr:colOff>
      <xdr:row>285</xdr:row>
      <xdr:rowOff>19050</xdr:rowOff>
    </xdr:from>
    <xdr:to>
      <xdr:col>8</xdr:col>
      <xdr:colOff>57150</xdr:colOff>
      <xdr:row>285</xdr:row>
      <xdr:rowOff>285750</xdr:rowOff>
    </xdr:to>
    <xdr:sp macro="" textlink="">
      <xdr:nvSpPr>
        <xdr:cNvPr id="268" name="Rectangle à coins arrondis 267"/>
        <xdr:cNvSpPr/>
      </xdr:nvSpPr>
      <xdr:spPr>
        <a:xfrm>
          <a:off x="6924675" y="64369950"/>
          <a:ext cx="952500" cy="266700"/>
        </a:xfrm>
        <a:prstGeom prst="roundRect">
          <a:avLst/>
        </a:prstGeom>
        <a:solidFill>
          <a:schemeClr val="bg2">
            <a:lumMod val="50000"/>
            <a:alpha val="31000"/>
          </a:schemeClr>
        </a:solidFill>
        <a:ln>
          <a:noFill/>
        </a:ln>
        <a:scene3d>
          <a:camera prst="orthographicFront"/>
          <a:lightRig rig="threePt" dir="t"/>
        </a:scene3d>
        <a:sp3d prstMaterial="dkEdge">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solidFill>
              <a:schemeClr val="tx1"/>
            </a:solidFill>
          </a:endParaRPr>
        </a:p>
      </xdr:txBody>
    </xdr:sp>
    <xdr:clientData/>
  </xdr:twoCellAnchor>
  <xdr:twoCellAnchor>
    <xdr:from>
      <xdr:col>2</xdr:col>
      <xdr:colOff>14285</xdr:colOff>
      <xdr:row>292</xdr:row>
      <xdr:rowOff>202406</xdr:rowOff>
    </xdr:from>
    <xdr:to>
      <xdr:col>8</xdr:col>
      <xdr:colOff>11904</xdr:colOff>
      <xdr:row>294</xdr:row>
      <xdr:rowOff>47624</xdr:rowOff>
    </xdr:to>
    <xdr:sp macro="" textlink="">
      <xdr:nvSpPr>
        <xdr:cNvPr id="269" name="Rectangle 268"/>
        <xdr:cNvSpPr/>
      </xdr:nvSpPr>
      <xdr:spPr>
        <a:xfrm>
          <a:off x="1323973" y="65651062"/>
          <a:ext cx="6950869" cy="333375"/>
        </a:xfrm>
        <a:prstGeom prst="rect">
          <a:avLst/>
        </a:prstGeom>
        <a:solidFill>
          <a:schemeClr val="bg2">
            <a:lumMod val="50000"/>
            <a:alpha val="31000"/>
          </a:schemeClr>
        </a:solidFill>
        <a:ln>
          <a:noFill/>
        </a:ln>
        <a:scene3d>
          <a:camera prst="orthographicFront"/>
          <a:lightRig rig="threePt" dir="t"/>
        </a:scene3d>
        <a:sp3d prstMaterial="dkEdge">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solidFill>
              <a:schemeClr val="tx1"/>
            </a:solidFill>
          </a:endParaRPr>
        </a:p>
      </xdr:txBody>
    </xdr:sp>
    <xdr:clientData/>
  </xdr:twoCellAnchor>
  <xdr:twoCellAnchor>
    <xdr:from>
      <xdr:col>1</xdr:col>
      <xdr:colOff>847724</xdr:colOff>
      <xdr:row>342</xdr:row>
      <xdr:rowOff>0</xdr:rowOff>
    </xdr:from>
    <xdr:to>
      <xdr:col>8</xdr:col>
      <xdr:colOff>19049</xdr:colOff>
      <xdr:row>343</xdr:row>
      <xdr:rowOff>0</xdr:rowOff>
    </xdr:to>
    <xdr:sp macro="" textlink="">
      <xdr:nvSpPr>
        <xdr:cNvPr id="270" name="Rectangle 269"/>
        <xdr:cNvSpPr/>
      </xdr:nvSpPr>
      <xdr:spPr>
        <a:xfrm>
          <a:off x="1200149" y="76933425"/>
          <a:ext cx="6638925" cy="266700"/>
        </a:xfrm>
        <a:prstGeom prst="rect">
          <a:avLst/>
        </a:prstGeom>
        <a:solidFill>
          <a:schemeClr val="bg2">
            <a:lumMod val="50000"/>
            <a:alpha val="31000"/>
          </a:schemeClr>
        </a:solidFill>
        <a:ln>
          <a:noFill/>
        </a:ln>
        <a:scene3d>
          <a:camera prst="orthographicFront"/>
          <a:lightRig rig="threePt" dir="t"/>
        </a:scene3d>
        <a:sp3d prstMaterial="dkEdge">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solidFill>
              <a:schemeClr val="tx1"/>
            </a:solidFill>
          </a:endParaRPr>
        </a:p>
      </xdr:txBody>
    </xdr:sp>
    <xdr:clientData/>
  </xdr:twoCellAnchor>
  <xdr:twoCellAnchor>
    <xdr:from>
      <xdr:col>4</xdr:col>
      <xdr:colOff>23812</xdr:colOff>
      <xdr:row>295</xdr:row>
      <xdr:rowOff>228600</xdr:rowOff>
    </xdr:from>
    <xdr:to>
      <xdr:col>8</xdr:col>
      <xdr:colOff>23812</xdr:colOff>
      <xdr:row>297</xdr:row>
      <xdr:rowOff>0</xdr:rowOff>
    </xdr:to>
    <xdr:sp macro="" textlink="">
      <xdr:nvSpPr>
        <xdr:cNvPr id="271" name="Rectangle 270"/>
        <xdr:cNvSpPr/>
      </xdr:nvSpPr>
      <xdr:spPr>
        <a:xfrm>
          <a:off x="3524250" y="66391631"/>
          <a:ext cx="4762500" cy="366713"/>
        </a:xfrm>
        <a:prstGeom prst="rect">
          <a:avLst/>
        </a:prstGeom>
        <a:solidFill>
          <a:schemeClr val="bg2">
            <a:lumMod val="50000"/>
            <a:alpha val="31000"/>
          </a:schemeClr>
        </a:solidFill>
        <a:ln>
          <a:noFill/>
        </a:ln>
        <a:scene3d>
          <a:camera prst="orthographicFront"/>
          <a:lightRig rig="threePt" dir="t"/>
        </a:scene3d>
        <a:sp3d prstMaterial="dkEdge">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solidFill>
              <a:schemeClr val="tx1"/>
            </a:solidFill>
          </a:endParaRPr>
        </a:p>
      </xdr:txBody>
    </xdr:sp>
    <xdr:clientData/>
  </xdr:twoCellAnchor>
  <xdr:twoCellAnchor>
    <xdr:from>
      <xdr:col>9</xdr:col>
      <xdr:colOff>0</xdr:colOff>
      <xdr:row>391</xdr:row>
      <xdr:rowOff>0</xdr:rowOff>
    </xdr:from>
    <xdr:to>
      <xdr:col>10</xdr:col>
      <xdr:colOff>19050</xdr:colOff>
      <xdr:row>392</xdr:row>
      <xdr:rowOff>38101</xdr:rowOff>
    </xdr:to>
    <xdr:sp macro="" textlink="">
      <xdr:nvSpPr>
        <xdr:cNvPr id="272" name="Rectangle à coins arrondis 271"/>
        <xdr:cNvSpPr/>
      </xdr:nvSpPr>
      <xdr:spPr>
        <a:xfrm>
          <a:off x="9010650" y="86220300"/>
          <a:ext cx="781050" cy="219076"/>
        </a:xfrm>
        <a:prstGeom prst="roundRect">
          <a:avLst/>
        </a:prstGeom>
        <a:solidFill>
          <a:schemeClr val="bg2">
            <a:lumMod val="50000"/>
            <a:alpha val="31000"/>
          </a:schemeClr>
        </a:solidFill>
        <a:ln>
          <a:noFill/>
        </a:ln>
        <a:scene3d>
          <a:camera prst="orthographicFront"/>
          <a:lightRig rig="threePt" dir="t"/>
        </a:scene3d>
        <a:sp3d prstMaterial="dkEdge">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solidFill>
              <a:schemeClr val="tx1"/>
            </a:solidFill>
          </a:endParaRPr>
        </a:p>
      </xdr:txBody>
    </xdr:sp>
    <xdr:clientData/>
  </xdr:twoCellAnchor>
  <xdr:twoCellAnchor>
    <xdr:from>
      <xdr:col>4</xdr:col>
      <xdr:colOff>9524</xdr:colOff>
      <xdr:row>345</xdr:row>
      <xdr:rowOff>0</xdr:rowOff>
    </xdr:from>
    <xdr:to>
      <xdr:col>8</xdr:col>
      <xdr:colOff>9525</xdr:colOff>
      <xdr:row>347</xdr:row>
      <xdr:rowOff>19050</xdr:rowOff>
    </xdr:to>
    <xdr:sp macro="" textlink="">
      <xdr:nvSpPr>
        <xdr:cNvPr id="273" name="Rectangle à coins arrondis 272"/>
        <xdr:cNvSpPr/>
      </xdr:nvSpPr>
      <xdr:spPr>
        <a:xfrm>
          <a:off x="3333749" y="77695425"/>
          <a:ext cx="4610101" cy="381000"/>
        </a:xfrm>
        <a:prstGeom prst="roundRect">
          <a:avLst/>
        </a:prstGeom>
        <a:solidFill>
          <a:schemeClr val="bg2">
            <a:lumMod val="50000"/>
            <a:alpha val="31000"/>
          </a:schemeClr>
        </a:solidFill>
        <a:ln>
          <a:noFill/>
        </a:ln>
        <a:scene3d>
          <a:camera prst="orthographicFront"/>
          <a:lightRig rig="threePt" dir="t"/>
        </a:scene3d>
        <a:sp3d prstMaterial="dkEdge">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solidFill>
              <a:schemeClr val="tx1"/>
            </a:solidFill>
          </a:endParaRPr>
        </a:p>
      </xdr:txBody>
    </xdr:sp>
    <xdr:clientData/>
  </xdr:twoCellAnchor>
  <xdr:twoCellAnchor>
    <xdr:from>
      <xdr:col>5</xdr:col>
      <xdr:colOff>1209675</xdr:colOff>
      <xdr:row>408</xdr:row>
      <xdr:rowOff>0</xdr:rowOff>
    </xdr:from>
    <xdr:to>
      <xdr:col>7</xdr:col>
      <xdr:colOff>38100</xdr:colOff>
      <xdr:row>409</xdr:row>
      <xdr:rowOff>38100</xdr:rowOff>
    </xdr:to>
    <xdr:sp macro="" textlink="">
      <xdr:nvSpPr>
        <xdr:cNvPr id="274" name="Rectangle à coins arrondis 273"/>
        <xdr:cNvSpPr/>
      </xdr:nvSpPr>
      <xdr:spPr>
        <a:xfrm>
          <a:off x="5781675" y="90363675"/>
          <a:ext cx="1352550" cy="266700"/>
        </a:xfrm>
        <a:prstGeom prst="roundRect">
          <a:avLst/>
        </a:prstGeom>
        <a:solidFill>
          <a:schemeClr val="bg2">
            <a:lumMod val="50000"/>
            <a:alpha val="31000"/>
          </a:schemeClr>
        </a:solidFill>
        <a:ln>
          <a:noFill/>
        </a:ln>
        <a:scene3d>
          <a:camera prst="orthographicFront"/>
          <a:lightRig rig="threePt" dir="t"/>
        </a:scene3d>
        <a:sp3d prstMaterial="dkEdge">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solidFill>
              <a:schemeClr val="tx1"/>
            </a:solidFill>
          </a:endParaRPr>
        </a:p>
      </xdr:txBody>
    </xdr:sp>
    <xdr:clientData/>
  </xdr:twoCellAnchor>
  <xdr:twoCellAnchor>
    <xdr:from>
      <xdr:col>5</xdr:col>
      <xdr:colOff>1209675</xdr:colOff>
      <xdr:row>410</xdr:row>
      <xdr:rowOff>0</xdr:rowOff>
    </xdr:from>
    <xdr:to>
      <xdr:col>7</xdr:col>
      <xdr:colOff>38100</xdr:colOff>
      <xdr:row>411</xdr:row>
      <xdr:rowOff>38100</xdr:rowOff>
    </xdr:to>
    <xdr:sp macro="" textlink="">
      <xdr:nvSpPr>
        <xdr:cNvPr id="275" name="Rectangle à coins arrondis 274"/>
        <xdr:cNvSpPr/>
      </xdr:nvSpPr>
      <xdr:spPr>
        <a:xfrm>
          <a:off x="5781675" y="90820875"/>
          <a:ext cx="1352550" cy="266700"/>
        </a:xfrm>
        <a:prstGeom prst="roundRect">
          <a:avLst/>
        </a:prstGeom>
        <a:solidFill>
          <a:schemeClr val="bg2">
            <a:lumMod val="50000"/>
            <a:alpha val="31000"/>
          </a:schemeClr>
        </a:solidFill>
        <a:ln>
          <a:noFill/>
        </a:ln>
        <a:scene3d>
          <a:camera prst="orthographicFront"/>
          <a:lightRig rig="threePt" dir="t"/>
        </a:scene3d>
        <a:sp3d prstMaterial="dkEdge">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solidFill>
              <a:schemeClr val="tx1"/>
            </a:solidFill>
          </a:endParaRPr>
        </a:p>
      </xdr:txBody>
    </xdr:sp>
    <xdr:clientData/>
  </xdr:twoCellAnchor>
  <xdr:twoCellAnchor>
    <xdr:from>
      <xdr:col>5</xdr:col>
      <xdr:colOff>1209675</xdr:colOff>
      <xdr:row>412</xdr:row>
      <xdr:rowOff>57150</xdr:rowOff>
    </xdr:from>
    <xdr:to>
      <xdr:col>7</xdr:col>
      <xdr:colOff>38100</xdr:colOff>
      <xdr:row>413</xdr:row>
      <xdr:rowOff>19050</xdr:rowOff>
    </xdr:to>
    <xdr:sp macro="" textlink="">
      <xdr:nvSpPr>
        <xdr:cNvPr id="276" name="Rectangle à coins arrondis 275"/>
        <xdr:cNvSpPr/>
      </xdr:nvSpPr>
      <xdr:spPr>
        <a:xfrm>
          <a:off x="5781675" y="91335225"/>
          <a:ext cx="1352550" cy="266700"/>
        </a:xfrm>
        <a:prstGeom prst="roundRect">
          <a:avLst/>
        </a:prstGeom>
        <a:solidFill>
          <a:schemeClr val="bg2">
            <a:lumMod val="50000"/>
            <a:alpha val="31000"/>
          </a:schemeClr>
        </a:solidFill>
        <a:ln>
          <a:noFill/>
        </a:ln>
        <a:scene3d>
          <a:camera prst="orthographicFront"/>
          <a:lightRig rig="threePt" dir="t"/>
        </a:scene3d>
        <a:sp3d prstMaterial="dkEdge">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solidFill>
              <a:schemeClr val="tx1"/>
            </a:solidFill>
          </a:endParaRPr>
        </a:p>
      </xdr:txBody>
    </xdr:sp>
    <xdr:clientData/>
  </xdr:twoCellAnchor>
  <xdr:twoCellAnchor>
    <xdr:from>
      <xdr:col>5</xdr:col>
      <xdr:colOff>1209675</xdr:colOff>
      <xdr:row>413</xdr:row>
      <xdr:rowOff>209550</xdr:rowOff>
    </xdr:from>
    <xdr:to>
      <xdr:col>7</xdr:col>
      <xdr:colOff>38100</xdr:colOff>
      <xdr:row>415</xdr:row>
      <xdr:rowOff>19050</xdr:rowOff>
    </xdr:to>
    <xdr:sp macro="" textlink="">
      <xdr:nvSpPr>
        <xdr:cNvPr id="277" name="Rectangle à coins arrondis 276"/>
        <xdr:cNvSpPr/>
      </xdr:nvSpPr>
      <xdr:spPr>
        <a:xfrm>
          <a:off x="5781675" y="91792425"/>
          <a:ext cx="1352550" cy="266700"/>
        </a:xfrm>
        <a:prstGeom prst="roundRect">
          <a:avLst/>
        </a:prstGeom>
        <a:solidFill>
          <a:schemeClr val="bg2">
            <a:lumMod val="50000"/>
            <a:alpha val="31000"/>
          </a:schemeClr>
        </a:solidFill>
        <a:ln>
          <a:noFill/>
        </a:ln>
        <a:scene3d>
          <a:camera prst="orthographicFront"/>
          <a:lightRig rig="threePt" dir="t"/>
        </a:scene3d>
        <a:sp3d prstMaterial="dkEdge">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solidFill>
              <a:schemeClr val="tx1"/>
            </a:solidFill>
          </a:endParaRPr>
        </a:p>
      </xdr:txBody>
    </xdr:sp>
    <xdr:clientData/>
  </xdr:twoCellAnchor>
  <xdr:twoCellAnchor>
    <xdr:from>
      <xdr:col>5</xdr:col>
      <xdr:colOff>1209675</xdr:colOff>
      <xdr:row>416</xdr:row>
      <xdr:rowOff>38100</xdr:rowOff>
    </xdr:from>
    <xdr:to>
      <xdr:col>7</xdr:col>
      <xdr:colOff>38100</xdr:colOff>
      <xdr:row>417</xdr:row>
      <xdr:rowOff>0</xdr:rowOff>
    </xdr:to>
    <xdr:sp macro="" textlink="">
      <xdr:nvSpPr>
        <xdr:cNvPr id="282" name="Rectangle à coins arrondis 281"/>
        <xdr:cNvSpPr/>
      </xdr:nvSpPr>
      <xdr:spPr>
        <a:xfrm>
          <a:off x="5781675" y="92306775"/>
          <a:ext cx="1352550" cy="266700"/>
        </a:xfrm>
        <a:prstGeom prst="roundRect">
          <a:avLst/>
        </a:prstGeom>
        <a:solidFill>
          <a:schemeClr val="bg2">
            <a:lumMod val="50000"/>
            <a:alpha val="31000"/>
          </a:schemeClr>
        </a:solidFill>
        <a:ln>
          <a:noFill/>
        </a:ln>
        <a:scene3d>
          <a:camera prst="orthographicFront"/>
          <a:lightRig rig="threePt" dir="t"/>
        </a:scene3d>
        <a:sp3d prstMaterial="dkEdge">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solidFill>
              <a:schemeClr val="tx1"/>
            </a:solidFill>
          </a:endParaRPr>
        </a:p>
      </xdr:txBody>
    </xdr:sp>
    <xdr:clientData/>
  </xdr:twoCellAnchor>
  <xdr:twoCellAnchor>
    <xdr:from>
      <xdr:col>5</xdr:col>
      <xdr:colOff>0</xdr:colOff>
      <xdr:row>421</xdr:row>
      <xdr:rowOff>0</xdr:rowOff>
    </xdr:from>
    <xdr:to>
      <xdr:col>5</xdr:col>
      <xdr:colOff>1352550</xdr:colOff>
      <xdr:row>422</xdr:row>
      <xdr:rowOff>38100</xdr:rowOff>
    </xdr:to>
    <xdr:sp macro="" textlink="">
      <xdr:nvSpPr>
        <xdr:cNvPr id="283" name="Rectangle à coins arrondis 282"/>
        <xdr:cNvSpPr/>
      </xdr:nvSpPr>
      <xdr:spPr>
        <a:xfrm>
          <a:off x="4572000" y="93668850"/>
          <a:ext cx="1352550" cy="266700"/>
        </a:xfrm>
        <a:prstGeom prst="roundRect">
          <a:avLst/>
        </a:prstGeom>
        <a:solidFill>
          <a:schemeClr val="bg2">
            <a:lumMod val="50000"/>
            <a:alpha val="31000"/>
          </a:schemeClr>
        </a:solidFill>
        <a:ln>
          <a:noFill/>
        </a:ln>
        <a:scene3d>
          <a:camera prst="orthographicFront"/>
          <a:lightRig rig="threePt" dir="t"/>
        </a:scene3d>
        <a:sp3d prstMaterial="dkEdge">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solidFill>
              <a:schemeClr val="tx1"/>
            </a:solidFill>
          </a:endParaRPr>
        </a:p>
      </xdr:txBody>
    </xdr:sp>
    <xdr:clientData/>
  </xdr:twoCellAnchor>
  <xdr:twoCellAnchor>
    <xdr:from>
      <xdr:col>5</xdr:col>
      <xdr:colOff>0</xdr:colOff>
      <xdr:row>423</xdr:row>
      <xdr:rowOff>0</xdr:rowOff>
    </xdr:from>
    <xdr:to>
      <xdr:col>5</xdr:col>
      <xdr:colOff>1352550</xdr:colOff>
      <xdr:row>424</xdr:row>
      <xdr:rowOff>38100</xdr:rowOff>
    </xdr:to>
    <xdr:sp macro="" textlink="">
      <xdr:nvSpPr>
        <xdr:cNvPr id="284" name="Rectangle à coins arrondis 283"/>
        <xdr:cNvSpPr/>
      </xdr:nvSpPr>
      <xdr:spPr>
        <a:xfrm>
          <a:off x="4572000" y="94126050"/>
          <a:ext cx="1352550" cy="266700"/>
        </a:xfrm>
        <a:prstGeom prst="roundRect">
          <a:avLst/>
        </a:prstGeom>
        <a:solidFill>
          <a:schemeClr val="bg2">
            <a:lumMod val="50000"/>
            <a:alpha val="31000"/>
          </a:schemeClr>
        </a:solidFill>
        <a:ln>
          <a:noFill/>
        </a:ln>
        <a:scene3d>
          <a:camera prst="orthographicFront"/>
          <a:lightRig rig="threePt" dir="t"/>
        </a:scene3d>
        <a:sp3d prstMaterial="dkEdge">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solidFill>
              <a:schemeClr val="tx1"/>
            </a:solidFill>
          </a:endParaRPr>
        </a:p>
      </xdr:txBody>
    </xdr:sp>
    <xdr:clientData/>
  </xdr:twoCellAnchor>
  <xdr:twoCellAnchor>
    <xdr:from>
      <xdr:col>5</xdr:col>
      <xdr:colOff>0</xdr:colOff>
      <xdr:row>425</xdr:row>
      <xdr:rowOff>0</xdr:rowOff>
    </xdr:from>
    <xdr:to>
      <xdr:col>5</xdr:col>
      <xdr:colOff>1352550</xdr:colOff>
      <xdr:row>426</xdr:row>
      <xdr:rowOff>0</xdr:rowOff>
    </xdr:to>
    <xdr:sp macro="" textlink="">
      <xdr:nvSpPr>
        <xdr:cNvPr id="285" name="Rectangle à coins arrondis 284"/>
        <xdr:cNvSpPr/>
      </xdr:nvSpPr>
      <xdr:spPr>
        <a:xfrm>
          <a:off x="4572000" y="94583250"/>
          <a:ext cx="1352550" cy="266700"/>
        </a:xfrm>
        <a:prstGeom prst="roundRect">
          <a:avLst/>
        </a:prstGeom>
        <a:solidFill>
          <a:schemeClr val="bg2">
            <a:lumMod val="50000"/>
            <a:alpha val="31000"/>
          </a:schemeClr>
        </a:solidFill>
        <a:ln>
          <a:noFill/>
        </a:ln>
        <a:scene3d>
          <a:camera prst="orthographicFront"/>
          <a:lightRig rig="threePt" dir="t"/>
        </a:scene3d>
        <a:sp3d prstMaterial="dkEdge">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solidFill>
              <a:schemeClr val="tx1"/>
            </a:solidFill>
          </a:endParaRPr>
        </a:p>
      </xdr:txBody>
    </xdr:sp>
    <xdr:clientData/>
  </xdr:twoCellAnchor>
  <xdr:twoCellAnchor>
    <xdr:from>
      <xdr:col>5</xdr:col>
      <xdr:colOff>0</xdr:colOff>
      <xdr:row>427</xdr:row>
      <xdr:rowOff>0</xdr:rowOff>
    </xdr:from>
    <xdr:to>
      <xdr:col>5</xdr:col>
      <xdr:colOff>1352550</xdr:colOff>
      <xdr:row>428</xdr:row>
      <xdr:rowOff>0</xdr:rowOff>
    </xdr:to>
    <xdr:sp macro="" textlink="">
      <xdr:nvSpPr>
        <xdr:cNvPr id="286" name="Rectangle à coins arrondis 285"/>
        <xdr:cNvSpPr/>
      </xdr:nvSpPr>
      <xdr:spPr>
        <a:xfrm>
          <a:off x="4572000" y="95078550"/>
          <a:ext cx="1352550" cy="266700"/>
        </a:xfrm>
        <a:prstGeom prst="roundRect">
          <a:avLst/>
        </a:prstGeom>
        <a:solidFill>
          <a:schemeClr val="bg2">
            <a:lumMod val="50000"/>
            <a:alpha val="31000"/>
          </a:schemeClr>
        </a:solidFill>
        <a:ln>
          <a:noFill/>
        </a:ln>
        <a:scene3d>
          <a:camera prst="orthographicFront"/>
          <a:lightRig rig="threePt" dir="t"/>
        </a:scene3d>
        <a:sp3d prstMaterial="dkEdge">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solidFill>
              <a:schemeClr val="tx1"/>
            </a:solidFill>
          </a:endParaRPr>
        </a:p>
      </xdr:txBody>
    </xdr:sp>
    <xdr:clientData/>
  </xdr:twoCellAnchor>
  <xdr:twoCellAnchor>
    <xdr:from>
      <xdr:col>5</xdr:col>
      <xdr:colOff>0</xdr:colOff>
      <xdr:row>428</xdr:row>
      <xdr:rowOff>0</xdr:rowOff>
    </xdr:from>
    <xdr:to>
      <xdr:col>5</xdr:col>
      <xdr:colOff>1352550</xdr:colOff>
      <xdr:row>429</xdr:row>
      <xdr:rowOff>0</xdr:rowOff>
    </xdr:to>
    <xdr:sp macro="" textlink="">
      <xdr:nvSpPr>
        <xdr:cNvPr id="287" name="Rectangle à coins arrondis 286"/>
        <xdr:cNvSpPr/>
      </xdr:nvSpPr>
      <xdr:spPr>
        <a:xfrm>
          <a:off x="4572000" y="95345250"/>
          <a:ext cx="1352550" cy="266700"/>
        </a:xfrm>
        <a:prstGeom prst="roundRect">
          <a:avLst/>
        </a:prstGeom>
        <a:solidFill>
          <a:schemeClr val="bg2">
            <a:lumMod val="50000"/>
            <a:alpha val="31000"/>
          </a:schemeClr>
        </a:solidFill>
        <a:ln>
          <a:noFill/>
        </a:ln>
        <a:scene3d>
          <a:camera prst="orthographicFront"/>
          <a:lightRig rig="threePt" dir="t"/>
        </a:scene3d>
        <a:sp3d prstMaterial="dkEdge">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solidFill>
              <a:schemeClr val="tx1"/>
            </a:solidFill>
          </a:endParaRPr>
        </a:p>
      </xdr:txBody>
    </xdr:sp>
    <xdr:clientData/>
  </xdr:twoCellAnchor>
  <xdr:twoCellAnchor>
    <xdr:from>
      <xdr:col>5</xdr:col>
      <xdr:colOff>0</xdr:colOff>
      <xdr:row>429</xdr:row>
      <xdr:rowOff>0</xdr:rowOff>
    </xdr:from>
    <xdr:to>
      <xdr:col>5</xdr:col>
      <xdr:colOff>1352550</xdr:colOff>
      <xdr:row>430</xdr:row>
      <xdr:rowOff>0</xdr:rowOff>
    </xdr:to>
    <xdr:sp macro="" textlink="">
      <xdr:nvSpPr>
        <xdr:cNvPr id="288" name="Rectangle à coins arrondis 287"/>
        <xdr:cNvSpPr/>
      </xdr:nvSpPr>
      <xdr:spPr>
        <a:xfrm>
          <a:off x="4572000" y="95611950"/>
          <a:ext cx="1352550" cy="266700"/>
        </a:xfrm>
        <a:prstGeom prst="roundRect">
          <a:avLst/>
        </a:prstGeom>
        <a:solidFill>
          <a:schemeClr val="bg2">
            <a:lumMod val="50000"/>
            <a:alpha val="31000"/>
          </a:schemeClr>
        </a:solidFill>
        <a:ln>
          <a:noFill/>
        </a:ln>
        <a:scene3d>
          <a:camera prst="orthographicFront"/>
          <a:lightRig rig="threePt" dir="t"/>
        </a:scene3d>
        <a:sp3d prstMaterial="dkEdge">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solidFill>
              <a:schemeClr val="tx1"/>
            </a:solidFill>
          </a:endParaRPr>
        </a:p>
      </xdr:txBody>
    </xdr:sp>
    <xdr:clientData/>
  </xdr:twoCellAnchor>
  <xdr:twoCellAnchor>
    <xdr:from>
      <xdr:col>5</xdr:col>
      <xdr:colOff>0</xdr:colOff>
      <xdr:row>431</xdr:row>
      <xdr:rowOff>19050</xdr:rowOff>
    </xdr:from>
    <xdr:to>
      <xdr:col>5</xdr:col>
      <xdr:colOff>1352550</xdr:colOff>
      <xdr:row>432</xdr:row>
      <xdr:rowOff>19050</xdr:rowOff>
    </xdr:to>
    <xdr:sp macro="" textlink="">
      <xdr:nvSpPr>
        <xdr:cNvPr id="289" name="Rectangle à coins arrondis 288"/>
        <xdr:cNvSpPr/>
      </xdr:nvSpPr>
      <xdr:spPr>
        <a:xfrm>
          <a:off x="4572000" y="96126300"/>
          <a:ext cx="1352550" cy="304800"/>
        </a:xfrm>
        <a:prstGeom prst="roundRect">
          <a:avLst/>
        </a:prstGeom>
        <a:solidFill>
          <a:schemeClr val="bg2">
            <a:lumMod val="50000"/>
            <a:alpha val="31000"/>
          </a:schemeClr>
        </a:solidFill>
        <a:ln>
          <a:noFill/>
        </a:ln>
        <a:scene3d>
          <a:camera prst="orthographicFront"/>
          <a:lightRig rig="threePt" dir="t"/>
        </a:scene3d>
        <a:sp3d prstMaterial="dkEdge">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solidFill>
              <a:schemeClr val="tx1"/>
            </a:solidFill>
          </a:endParaRPr>
        </a:p>
      </xdr:txBody>
    </xdr:sp>
    <xdr:clientData/>
  </xdr:twoCellAnchor>
  <xdr:twoCellAnchor>
    <xdr:from>
      <xdr:col>5</xdr:col>
      <xdr:colOff>0</xdr:colOff>
      <xdr:row>432</xdr:row>
      <xdr:rowOff>28575</xdr:rowOff>
    </xdr:from>
    <xdr:to>
      <xdr:col>5</xdr:col>
      <xdr:colOff>1352550</xdr:colOff>
      <xdr:row>432</xdr:row>
      <xdr:rowOff>276225</xdr:rowOff>
    </xdr:to>
    <xdr:sp macro="" textlink="">
      <xdr:nvSpPr>
        <xdr:cNvPr id="290" name="Rectangle à coins arrondis 289"/>
        <xdr:cNvSpPr/>
      </xdr:nvSpPr>
      <xdr:spPr>
        <a:xfrm>
          <a:off x="4572000" y="96402525"/>
          <a:ext cx="1352550" cy="247650"/>
        </a:xfrm>
        <a:prstGeom prst="roundRect">
          <a:avLst/>
        </a:prstGeom>
        <a:solidFill>
          <a:schemeClr val="bg2">
            <a:lumMod val="50000"/>
            <a:alpha val="31000"/>
          </a:schemeClr>
        </a:solidFill>
        <a:ln>
          <a:noFill/>
        </a:ln>
        <a:scene3d>
          <a:camera prst="orthographicFront"/>
          <a:lightRig rig="threePt" dir="t"/>
        </a:scene3d>
        <a:sp3d prstMaterial="dkEdge">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solidFill>
              <a:schemeClr val="tx1"/>
            </a:solidFill>
          </a:endParaRPr>
        </a:p>
      </xdr:txBody>
    </xdr:sp>
    <xdr:clientData/>
  </xdr:twoCellAnchor>
  <xdr:twoCellAnchor>
    <xdr:from>
      <xdr:col>5</xdr:col>
      <xdr:colOff>0</xdr:colOff>
      <xdr:row>434</xdr:row>
      <xdr:rowOff>0</xdr:rowOff>
    </xdr:from>
    <xdr:to>
      <xdr:col>5</xdr:col>
      <xdr:colOff>1352550</xdr:colOff>
      <xdr:row>435</xdr:row>
      <xdr:rowOff>19050</xdr:rowOff>
    </xdr:to>
    <xdr:sp macro="" textlink="">
      <xdr:nvSpPr>
        <xdr:cNvPr id="291" name="Rectangle à coins arrondis 290"/>
        <xdr:cNvSpPr/>
      </xdr:nvSpPr>
      <xdr:spPr>
        <a:xfrm>
          <a:off x="4572000" y="96831150"/>
          <a:ext cx="1352550" cy="304800"/>
        </a:xfrm>
        <a:prstGeom prst="roundRect">
          <a:avLst/>
        </a:prstGeom>
        <a:solidFill>
          <a:schemeClr val="bg2">
            <a:lumMod val="50000"/>
            <a:alpha val="31000"/>
          </a:schemeClr>
        </a:solidFill>
        <a:ln>
          <a:noFill/>
        </a:ln>
        <a:scene3d>
          <a:camera prst="orthographicFront"/>
          <a:lightRig rig="threePt" dir="t"/>
        </a:scene3d>
        <a:sp3d prstMaterial="dkEdge">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solidFill>
              <a:schemeClr val="tx1"/>
            </a:solidFill>
          </a:endParaRPr>
        </a:p>
      </xdr:txBody>
    </xdr:sp>
    <xdr:clientData/>
  </xdr:twoCellAnchor>
  <xdr:twoCellAnchor>
    <xdr:from>
      <xdr:col>5</xdr:col>
      <xdr:colOff>28575</xdr:colOff>
      <xdr:row>443</xdr:row>
      <xdr:rowOff>0</xdr:rowOff>
    </xdr:from>
    <xdr:to>
      <xdr:col>6</xdr:col>
      <xdr:colOff>19050</xdr:colOff>
      <xdr:row>444</xdr:row>
      <xdr:rowOff>38100</xdr:rowOff>
    </xdr:to>
    <xdr:sp macro="" textlink="">
      <xdr:nvSpPr>
        <xdr:cNvPr id="292" name="Rectangle à coins arrondis 291"/>
        <xdr:cNvSpPr/>
      </xdr:nvSpPr>
      <xdr:spPr>
        <a:xfrm>
          <a:off x="4600575" y="98926650"/>
          <a:ext cx="1352550" cy="266700"/>
        </a:xfrm>
        <a:prstGeom prst="roundRect">
          <a:avLst/>
        </a:prstGeom>
        <a:solidFill>
          <a:schemeClr val="bg2">
            <a:lumMod val="50000"/>
            <a:alpha val="31000"/>
          </a:schemeClr>
        </a:solidFill>
        <a:ln>
          <a:noFill/>
        </a:ln>
        <a:scene3d>
          <a:camera prst="orthographicFront"/>
          <a:lightRig rig="threePt" dir="t"/>
        </a:scene3d>
        <a:sp3d prstMaterial="dkEdge">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solidFill>
              <a:schemeClr val="tx1"/>
            </a:solidFill>
          </a:endParaRPr>
        </a:p>
      </xdr:txBody>
    </xdr:sp>
    <xdr:clientData/>
  </xdr:twoCellAnchor>
  <xdr:twoCellAnchor>
    <xdr:from>
      <xdr:col>5</xdr:col>
      <xdr:colOff>28575</xdr:colOff>
      <xdr:row>445</xdr:row>
      <xdr:rowOff>0</xdr:rowOff>
    </xdr:from>
    <xdr:to>
      <xdr:col>6</xdr:col>
      <xdr:colOff>19050</xdr:colOff>
      <xdr:row>446</xdr:row>
      <xdr:rowOff>0</xdr:rowOff>
    </xdr:to>
    <xdr:sp macro="" textlink="">
      <xdr:nvSpPr>
        <xdr:cNvPr id="293" name="Rectangle à coins arrondis 292"/>
        <xdr:cNvSpPr/>
      </xdr:nvSpPr>
      <xdr:spPr>
        <a:xfrm>
          <a:off x="4600575" y="99383850"/>
          <a:ext cx="1352550" cy="266700"/>
        </a:xfrm>
        <a:prstGeom prst="roundRect">
          <a:avLst/>
        </a:prstGeom>
        <a:solidFill>
          <a:schemeClr val="bg2">
            <a:lumMod val="50000"/>
            <a:alpha val="31000"/>
          </a:schemeClr>
        </a:solidFill>
        <a:ln>
          <a:noFill/>
        </a:ln>
        <a:scene3d>
          <a:camera prst="orthographicFront"/>
          <a:lightRig rig="threePt" dir="t"/>
        </a:scene3d>
        <a:sp3d prstMaterial="dkEdge">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solidFill>
              <a:schemeClr val="tx1"/>
            </a:solidFill>
          </a:endParaRPr>
        </a:p>
      </xdr:txBody>
    </xdr:sp>
    <xdr:clientData/>
  </xdr:twoCellAnchor>
  <xdr:twoCellAnchor>
    <xdr:from>
      <xdr:col>5</xdr:col>
      <xdr:colOff>28575</xdr:colOff>
      <xdr:row>447</xdr:row>
      <xdr:rowOff>0</xdr:rowOff>
    </xdr:from>
    <xdr:to>
      <xdr:col>6</xdr:col>
      <xdr:colOff>19050</xdr:colOff>
      <xdr:row>448</xdr:row>
      <xdr:rowOff>0</xdr:rowOff>
    </xdr:to>
    <xdr:sp macro="" textlink="">
      <xdr:nvSpPr>
        <xdr:cNvPr id="294" name="Rectangle à coins arrondis 293"/>
        <xdr:cNvSpPr/>
      </xdr:nvSpPr>
      <xdr:spPr>
        <a:xfrm>
          <a:off x="4600575" y="99917250"/>
          <a:ext cx="1352550" cy="266700"/>
        </a:xfrm>
        <a:prstGeom prst="roundRect">
          <a:avLst/>
        </a:prstGeom>
        <a:solidFill>
          <a:schemeClr val="bg2">
            <a:lumMod val="50000"/>
            <a:alpha val="31000"/>
          </a:schemeClr>
        </a:solidFill>
        <a:ln>
          <a:noFill/>
        </a:ln>
        <a:scene3d>
          <a:camera prst="orthographicFront"/>
          <a:lightRig rig="threePt" dir="t"/>
        </a:scene3d>
        <a:sp3d prstMaterial="dkEdge">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solidFill>
              <a:schemeClr val="tx1"/>
            </a:solidFill>
          </a:endParaRPr>
        </a:p>
      </xdr:txBody>
    </xdr:sp>
    <xdr:clientData/>
  </xdr:twoCellAnchor>
  <xdr:twoCellAnchor>
    <xdr:from>
      <xdr:col>5</xdr:col>
      <xdr:colOff>28575</xdr:colOff>
      <xdr:row>449</xdr:row>
      <xdr:rowOff>57150</xdr:rowOff>
    </xdr:from>
    <xdr:to>
      <xdr:col>6</xdr:col>
      <xdr:colOff>19050</xdr:colOff>
      <xdr:row>449</xdr:row>
      <xdr:rowOff>323850</xdr:rowOff>
    </xdr:to>
    <xdr:sp macro="" textlink="">
      <xdr:nvSpPr>
        <xdr:cNvPr id="295" name="Rectangle à coins arrondis 294"/>
        <xdr:cNvSpPr/>
      </xdr:nvSpPr>
      <xdr:spPr>
        <a:xfrm>
          <a:off x="4600575" y="100507800"/>
          <a:ext cx="1352550" cy="266700"/>
        </a:xfrm>
        <a:prstGeom prst="roundRect">
          <a:avLst/>
        </a:prstGeom>
        <a:solidFill>
          <a:schemeClr val="bg2">
            <a:lumMod val="50000"/>
            <a:alpha val="31000"/>
          </a:schemeClr>
        </a:solidFill>
        <a:ln>
          <a:noFill/>
        </a:ln>
        <a:scene3d>
          <a:camera prst="orthographicFront"/>
          <a:lightRig rig="threePt" dir="t"/>
        </a:scene3d>
        <a:sp3d prstMaterial="dkEdge">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solidFill>
              <a:schemeClr val="tx1"/>
            </a:solidFill>
          </a:endParaRPr>
        </a:p>
      </xdr:txBody>
    </xdr:sp>
    <xdr:clientData/>
  </xdr:twoCellAnchor>
  <xdr:twoCellAnchor>
    <xdr:from>
      <xdr:col>5</xdr:col>
      <xdr:colOff>28575</xdr:colOff>
      <xdr:row>451</xdr:row>
      <xdr:rowOff>0</xdr:rowOff>
    </xdr:from>
    <xdr:to>
      <xdr:col>6</xdr:col>
      <xdr:colOff>19050</xdr:colOff>
      <xdr:row>452</xdr:row>
      <xdr:rowOff>38100</xdr:rowOff>
    </xdr:to>
    <xdr:sp macro="" textlink="">
      <xdr:nvSpPr>
        <xdr:cNvPr id="296" name="Rectangle à coins arrondis 295"/>
        <xdr:cNvSpPr/>
      </xdr:nvSpPr>
      <xdr:spPr>
        <a:xfrm>
          <a:off x="4600575" y="101098350"/>
          <a:ext cx="1352550" cy="266700"/>
        </a:xfrm>
        <a:prstGeom prst="roundRect">
          <a:avLst/>
        </a:prstGeom>
        <a:solidFill>
          <a:schemeClr val="bg2">
            <a:lumMod val="50000"/>
            <a:alpha val="31000"/>
          </a:schemeClr>
        </a:solidFill>
        <a:ln>
          <a:noFill/>
        </a:ln>
        <a:scene3d>
          <a:camera prst="orthographicFront"/>
          <a:lightRig rig="threePt" dir="t"/>
        </a:scene3d>
        <a:sp3d prstMaterial="dkEdge">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solidFill>
              <a:schemeClr val="tx1"/>
            </a:solidFill>
          </a:endParaRPr>
        </a:p>
      </xdr:txBody>
    </xdr:sp>
    <xdr:clientData/>
  </xdr:twoCellAnchor>
  <xdr:twoCellAnchor>
    <xdr:from>
      <xdr:col>5</xdr:col>
      <xdr:colOff>28575</xdr:colOff>
      <xdr:row>453</xdr:row>
      <xdr:rowOff>0</xdr:rowOff>
    </xdr:from>
    <xdr:to>
      <xdr:col>6</xdr:col>
      <xdr:colOff>19050</xdr:colOff>
      <xdr:row>454</xdr:row>
      <xdr:rowOff>0</xdr:rowOff>
    </xdr:to>
    <xdr:sp macro="" textlink="">
      <xdr:nvSpPr>
        <xdr:cNvPr id="297" name="Rectangle à coins arrondis 296"/>
        <xdr:cNvSpPr/>
      </xdr:nvSpPr>
      <xdr:spPr>
        <a:xfrm>
          <a:off x="4600575" y="101555550"/>
          <a:ext cx="1352550" cy="228600"/>
        </a:xfrm>
        <a:prstGeom prst="roundRect">
          <a:avLst/>
        </a:prstGeom>
        <a:solidFill>
          <a:schemeClr val="bg2">
            <a:lumMod val="50000"/>
            <a:alpha val="31000"/>
          </a:schemeClr>
        </a:solidFill>
        <a:ln>
          <a:noFill/>
        </a:ln>
        <a:scene3d>
          <a:camera prst="orthographicFront"/>
          <a:lightRig rig="threePt" dir="t"/>
        </a:scene3d>
        <a:sp3d prstMaterial="dkEdge">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solidFill>
              <a:schemeClr val="tx1"/>
            </a:solidFill>
          </a:endParaRPr>
        </a:p>
      </xdr:txBody>
    </xdr:sp>
    <xdr:clientData/>
  </xdr:twoCellAnchor>
  <xdr:twoCellAnchor>
    <xdr:from>
      <xdr:col>5</xdr:col>
      <xdr:colOff>28575</xdr:colOff>
      <xdr:row>455</xdr:row>
      <xdr:rowOff>28575</xdr:rowOff>
    </xdr:from>
    <xdr:to>
      <xdr:col>6</xdr:col>
      <xdr:colOff>19050</xdr:colOff>
      <xdr:row>455</xdr:row>
      <xdr:rowOff>219075</xdr:rowOff>
    </xdr:to>
    <xdr:sp macro="" textlink="">
      <xdr:nvSpPr>
        <xdr:cNvPr id="298" name="Rectangle à coins arrondis 297"/>
        <xdr:cNvSpPr/>
      </xdr:nvSpPr>
      <xdr:spPr>
        <a:xfrm>
          <a:off x="4600575" y="101927025"/>
          <a:ext cx="1352550" cy="190500"/>
        </a:xfrm>
        <a:prstGeom prst="roundRect">
          <a:avLst/>
        </a:prstGeom>
        <a:solidFill>
          <a:schemeClr val="bg2">
            <a:lumMod val="50000"/>
            <a:alpha val="31000"/>
          </a:schemeClr>
        </a:solidFill>
        <a:ln>
          <a:noFill/>
        </a:ln>
        <a:scene3d>
          <a:camera prst="orthographicFront"/>
          <a:lightRig rig="threePt" dir="t"/>
        </a:scene3d>
        <a:sp3d prstMaterial="dkEdge">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solidFill>
              <a:schemeClr val="tx1"/>
            </a:solidFill>
          </a:endParaRPr>
        </a:p>
      </xdr:txBody>
    </xdr:sp>
    <xdr:clientData/>
  </xdr:twoCellAnchor>
  <xdr:twoCellAnchor>
    <xdr:from>
      <xdr:col>5</xdr:col>
      <xdr:colOff>28575</xdr:colOff>
      <xdr:row>457</xdr:row>
      <xdr:rowOff>0</xdr:rowOff>
    </xdr:from>
    <xdr:to>
      <xdr:col>6</xdr:col>
      <xdr:colOff>19050</xdr:colOff>
      <xdr:row>458</xdr:row>
      <xdr:rowOff>38100</xdr:rowOff>
    </xdr:to>
    <xdr:sp macro="" textlink="">
      <xdr:nvSpPr>
        <xdr:cNvPr id="299" name="Rectangle à coins arrondis 298"/>
        <xdr:cNvSpPr/>
      </xdr:nvSpPr>
      <xdr:spPr>
        <a:xfrm>
          <a:off x="4600575" y="102279450"/>
          <a:ext cx="1352550" cy="266700"/>
        </a:xfrm>
        <a:prstGeom prst="roundRect">
          <a:avLst/>
        </a:prstGeom>
        <a:solidFill>
          <a:schemeClr val="bg2">
            <a:lumMod val="50000"/>
            <a:alpha val="31000"/>
          </a:schemeClr>
        </a:solidFill>
        <a:ln>
          <a:noFill/>
        </a:ln>
        <a:scene3d>
          <a:camera prst="orthographicFront"/>
          <a:lightRig rig="threePt" dir="t"/>
        </a:scene3d>
        <a:sp3d prstMaterial="dkEdge">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solidFill>
              <a:schemeClr val="tx1"/>
            </a:solidFill>
          </a:endParaRPr>
        </a:p>
      </xdr:txBody>
    </xdr:sp>
    <xdr:clientData/>
  </xdr:twoCellAnchor>
  <xdr:twoCellAnchor>
    <xdr:from>
      <xdr:col>3</xdr:col>
      <xdr:colOff>785812</xdr:colOff>
      <xdr:row>462</xdr:row>
      <xdr:rowOff>0</xdr:rowOff>
    </xdr:from>
    <xdr:to>
      <xdr:col>5</xdr:col>
      <xdr:colOff>1247774</xdr:colOff>
      <xdr:row>463</xdr:row>
      <xdr:rowOff>23812</xdr:rowOff>
    </xdr:to>
    <xdr:sp macro="" textlink="">
      <xdr:nvSpPr>
        <xdr:cNvPr id="300" name="Rectangle à coins arrondis 299"/>
        <xdr:cNvSpPr/>
      </xdr:nvSpPr>
      <xdr:spPr>
        <a:xfrm>
          <a:off x="3048000" y="102524719"/>
          <a:ext cx="2950368" cy="250031"/>
        </a:xfrm>
        <a:prstGeom prst="roundRect">
          <a:avLst/>
        </a:prstGeom>
        <a:solidFill>
          <a:schemeClr val="bg2">
            <a:lumMod val="50000"/>
            <a:alpha val="31000"/>
          </a:schemeClr>
        </a:solidFill>
        <a:ln>
          <a:noFill/>
        </a:ln>
        <a:scene3d>
          <a:camera prst="orthographicFront"/>
          <a:lightRig rig="threePt" dir="t"/>
        </a:scene3d>
        <a:sp3d prstMaterial="dkEdge">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solidFill>
              <a:schemeClr val="tx1"/>
            </a:solidFill>
          </a:endParaRPr>
        </a:p>
      </xdr:txBody>
    </xdr:sp>
    <xdr:clientData/>
  </xdr:twoCellAnchor>
  <xdr:twoCellAnchor>
    <xdr:from>
      <xdr:col>6</xdr:col>
      <xdr:colOff>0</xdr:colOff>
      <xdr:row>462</xdr:row>
      <xdr:rowOff>0</xdr:rowOff>
    </xdr:from>
    <xdr:to>
      <xdr:col>7</xdr:col>
      <xdr:colOff>0</xdr:colOff>
      <xdr:row>463</xdr:row>
      <xdr:rowOff>38100</xdr:rowOff>
    </xdr:to>
    <xdr:sp macro="" textlink="">
      <xdr:nvSpPr>
        <xdr:cNvPr id="302" name="Rectangle à coins arrondis 301"/>
        <xdr:cNvSpPr/>
      </xdr:nvSpPr>
      <xdr:spPr>
        <a:xfrm>
          <a:off x="5934075" y="102508050"/>
          <a:ext cx="1162050" cy="266700"/>
        </a:xfrm>
        <a:prstGeom prst="roundRect">
          <a:avLst/>
        </a:prstGeom>
        <a:solidFill>
          <a:schemeClr val="bg2">
            <a:lumMod val="50000"/>
            <a:alpha val="31000"/>
          </a:schemeClr>
        </a:solidFill>
        <a:ln>
          <a:noFill/>
        </a:ln>
        <a:scene3d>
          <a:camera prst="orthographicFront"/>
          <a:lightRig rig="threePt" dir="t"/>
        </a:scene3d>
        <a:sp3d prstMaterial="dkEdge">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solidFill>
              <a:schemeClr val="tx1"/>
            </a:solidFill>
          </a:endParaRPr>
        </a:p>
      </xdr:txBody>
    </xdr:sp>
    <xdr:clientData/>
  </xdr:twoCellAnchor>
  <xdr:twoCellAnchor>
    <xdr:from>
      <xdr:col>6</xdr:col>
      <xdr:colOff>19050</xdr:colOff>
      <xdr:row>474</xdr:row>
      <xdr:rowOff>0</xdr:rowOff>
    </xdr:from>
    <xdr:to>
      <xdr:col>7</xdr:col>
      <xdr:colOff>57150</xdr:colOff>
      <xdr:row>475</xdr:row>
      <xdr:rowOff>38100</xdr:rowOff>
    </xdr:to>
    <xdr:sp macro="" textlink="">
      <xdr:nvSpPr>
        <xdr:cNvPr id="303" name="Rectangle à coins arrondis 302"/>
        <xdr:cNvSpPr/>
      </xdr:nvSpPr>
      <xdr:spPr>
        <a:xfrm>
          <a:off x="5953125" y="106860975"/>
          <a:ext cx="1200150" cy="266700"/>
        </a:xfrm>
        <a:prstGeom prst="roundRect">
          <a:avLst/>
        </a:prstGeom>
        <a:solidFill>
          <a:schemeClr val="bg2">
            <a:lumMod val="50000"/>
            <a:alpha val="31000"/>
          </a:schemeClr>
        </a:solidFill>
        <a:ln>
          <a:noFill/>
        </a:ln>
        <a:scene3d>
          <a:camera prst="orthographicFront"/>
          <a:lightRig rig="threePt" dir="t"/>
        </a:scene3d>
        <a:sp3d prstMaterial="dkEdge">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solidFill>
              <a:schemeClr val="tx1"/>
            </a:solidFill>
          </a:endParaRPr>
        </a:p>
      </xdr:txBody>
    </xdr:sp>
    <xdr:clientData/>
  </xdr:twoCellAnchor>
  <xdr:twoCellAnchor>
    <xdr:from>
      <xdr:col>6</xdr:col>
      <xdr:colOff>19050</xdr:colOff>
      <xdr:row>477</xdr:row>
      <xdr:rowOff>0</xdr:rowOff>
    </xdr:from>
    <xdr:to>
      <xdr:col>7</xdr:col>
      <xdr:colOff>57150</xdr:colOff>
      <xdr:row>478</xdr:row>
      <xdr:rowOff>38100</xdr:rowOff>
    </xdr:to>
    <xdr:sp macro="" textlink="">
      <xdr:nvSpPr>
        <xdr:cNvPr id="304" name="Rectangle à coins arrondis 303"/>
        <xdr:cNvSpPr/>
      </xdr:nvSpPr>
      <xdr:spPr>
        <a:xfrm>
          <a:off x="5953125" y="107546775"/>
          <a:ext cx="1200150" cy="266700"/>
        </a:xfrm>
        <a:prstGeom prst="roundRect">
          <a:avLst/>
        </a:prstGeom>
        <a:solidFill>
          <a:schemeClr val="bg2">
            <a:lumMod val="50000"/>
            <a:alpha val="31000"/>
          </a:schemeClr>
        </a:solidFill>
        <a:ln>
          <a:noFill/>
        </a:ln>
        <a:scene3d>
          <a:camera prst="orthographicFront"/>
          <a:lightRig rig="threePt" dir="t"/>
        </a:scene3d>
        <a:sp3d prstMaterial="dkEdge">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solidFill>
              <a:schemeClr val="tx1"/>
            </a:solidFill>
          </a:endParaRPr>
        </a:p>
      </xdr:txBody>
    </xdr:sp>
    <xdr:clientData/>
  </xdr:twoCellAnchor>
  <xdr:twoCellAnchor>
    <xdr:from>
      <xdr:col>6</xdr:col>
      <xdr:colOff>19050</xdr:colOff>
      <xdr:row>479</xdr:row>
      <xdr:rowOff>0</xdr:rowOff>
    </xdr:from>
    <xdr:to>
      <xdr:col>7</xdr:col>
      <xdr:colOff>57150</xdr:colOff>
      <xdr:row>480</xdr:row>
      <xdr:rowOff>38100</xdr:rowOff>
    </xdr:to>
    <xdr:sp macro="" textlink="">
      <xdr:nvSpPr>
        <xdr:cNvPr id="305" name="Rectangle à coins arrondis 304"/>
        <xdr:cNvSpPr/>
      </xdr:nvSpPr>
      <xdr:spPr>
        <a:xfrm>
          <a:off x="5953125" y="108003975"/>
          <a:ext cx="1200150" cy="266700"/>
        </a:xfrm>
        <a:prstGeom prst="roundRect">
          <a:avLst/>
        </a:prstGeom>
        <a:solidFill>
          <a:schemeClr val="bg2">
            <a:lumMod val="50000"/>
            <a:alpha val="31000"/>
          </a:schemeClr>
        </a:solidFill>
        <a:ln>
          <a:noFill/>
        </a:ln>
        <a:scene3d>
          <a:camera prst="orthographicFront"/>
          <a:lightRig rig="threePt" dir="t"/>
        </a:scene3d>
        <a:sp3d prstMaterial="dkEdge">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solidFill>
              <a:schemeClr val="tx1"/>
            </a:solidFill>
          </a:endParaRPr>
        </a:p>
      </xdr:txBody>
    </xdr:sp>
    <xdr:clientData/>
  </xdr:twoCellAnchor>
  <xdr:twoCellAnchor>
    <xdr:from>
      <xdr:col>6</xdr:col>
      <xdr:colOff>19050</xdr:colOff>
      <xdr:row>481</xdr:row>
      <xdr:rowOff>0</xdr:rowOff>
    </xdr:from>
    <xdr:to>
      <xdr:col>7</xdr:col>
      <xdr:colOff>57150</xdr:colOff>
      <xdr:row>482</xdr:row>
      <xdr:rowOff>38100</xdr:rowOff>
    </xdr:to>
    <xdr:sp macro="" textlink="">
      <xdr:nvSpPr>
        <xdr:cNvPr id="306" name="Rectangle à coins arrondis 305"/>
        <xdr:cNvSpPr/>
      </xdr:nvSpPr>
      <xdr:spPr>
        <a:xfrm>
          <a:off x="5953125" y="108461175"/>
          <a:ext cx="1200150" cy="266700"/>
        </a:xfrm>
        <a:prstGeom prst="roundRect">
          <a:avLst/>
        </a:prstGeom>
        <a:solidFill>
          <a:schemeClr val="bg2">
            <a:lumMod val="50000"/>
            <a:alpha val="31000"/>
          </a:schemeClr>
        </a:solidFill>
        <a:ln>
          <a:noFill/>
        </a:ln>
        <a:scene3d>
          <a:camera prst="orthographicFront"/>
          <a:lightRig rig="threePt" dir="t"/>
        </a:scene3d>
        <a:sp3d prstMaterial="dkEdge">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solidFill>
              <a:schemeClr val="tx1"/>
            </a:solidFill>
          </a:endParaRPr>
        </a:p>
      </xdr:txBody>
    </xdr:sp>
    <xdr:clientData/>
  </xdr:twoCellAnchor>
  <xdr:twoCellAnchor>
    <xdr:from>
      <xdr:col>6</xdr:col>
      <xdr:colOff>19050</xdr:colOff>
      <xdr:row>483</xdr:row>
      <xdr:rowOff>85724</xdr:rowOff>
    </xdr:from>
    <xdr:to>
      <xdr:col>7</xdr:col>
      <xdr:colOff>57150</xdr:colOff>
      <xdr:row>483</xdr:row>
      <xdr:rowOff>333375</xdr:rowOff>
    </xdr:to>
    <xdr:sp macro="" textlink="">
      <xdr:nvSpPr>
        <xdr:cNvPr id="307" name="Rectangle à coins arrondis 306"/>
        <xdr:cNvSpPr/>
      </xdr:nvSpPr>
      <xdr:spPr>
        <a:xfrm>
          <a:off x="5953125" y="109013624"/>
          <a:ext cx="1200150" cy="247651"/>
        </a:xfrm>
        <a:prstGeom prst="roundRect">
          <a:avLst/>
        </a:prstGeom>
        <a:solidFill>
          <a:schemeClr val="bg2">
            <a:lumMod val="50000"/>
            <a:alpha val="31000"/>
          </a:schemeClr>
        </a:solidFill>
        <a:ln>
          <a:noFill/>
        </a:ln>
        <a:scene3d>
          <a:camera prst="orthographicFront"/>
          <a:lightRig rig="threePt" dir="t"/>
        </a:scene3d>
        <a:sp3d prstMaterial="dkEdge">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solidFill>
              <a:schemeClr val="tx1"/>
            </a:solidFill>
          </a:endParaRPr>
        </a:p>
      </xdr:txBody>
    </xdr:sp>
    <xdr:clientData/>
  </xdr:twoCellAnchor>
  <xdr:twoCellAnchor>
    <xdr:from>
      <xdr:col>8</xdr:col>
      <xdr:colOff>19050</xdr:colOff>
      <xdr:row>477</xdr:row>
      <xdr:rowOff>0</xdr:rowOff>
    </xdr:from>
    <xdr:to>
      <xdr:col>9</xdr:col>
      <xdr:colOff>28575</xdr:colOff>
      <xdr:row>478</xdr:row>
      <xdr:rowOff>38100</xdr:rowOff>
    </xdr:to>
    <xdr:sp macro="" textlink="">
      <xdr:nvSpPr>
        <xdr:cNvPr id="308" name="Rectangle à coins arrondis 307"/>
        <xdr:cNvSpPr/>
      </xdr:nvSpPr>
      <xdr:spPr>
        <a:xfrm>
          <a:off x="7953375" y="107546775"/>
          <a:ext cx="1200150" cy="266700"/>
        </a:xfrm>
        <a:prstGeom prst="roundRect">
          <a:avLst/>
        </a:prstGeom>
        <a:solidFill>
          <a:schemeClr val="bg2">
            <a:lumMod val="50000"/>
            <a:alpha val="31000"/>
          </a:schemeClr>
        </a:solidFill>
        <a:ln>
          <a:noFill/>
        </a:ln>
        <a:scene3d>
          <a:camera prst="orthographicFront"/>
          <a:lightRig rig="threePt" dir="t"/>
        </a:scene3d>
        <a:sp3d prstMaterial="dkEdge">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solidFill>
              <a:schemeClr val="tx1"/>
            </a:solidFill>
          </a:endParaRPr>
        </a:p>
      </xdr:txBody>
    </xdr:sp>
    <xdr:clientData/>
  </xdr:twoCellAnchor>
  <xdr:twoCellAnchor>
    <xdr:from>
      <xdr:col>8</xdr:col>
      <xdr:colOff>19050</xdr:colOff>
      <xdr:row>479</xdr:row>
      <xdr:rowOff>0</xdr:rowOff>
    </xdr:from>
    <xdr:to>
      <xdr:col>9</xdr:col>
      <xdr:colOff>28575</xdr:colOff>
      <xdr:row>480</xdr:row>
      <xdr:rowOff>38100</xdr:rowOff>
    </xdr:to>
    <xdr:sp macro="" textlink="">
      <xdr:nvSpPr>
        <xdr:cNvPr id="309" name="Rectangle à coins arrondis 308"/>
        <xdr:cNvSpPr/>
      </xdr:nvSpPr>
      <xdr:spPr>
        <a:xfrm>
          <a:off x="7953375" y="108003975"/>
          <a:ext cx="1200150" cy="266700"/>
        </a:xfrm>
        <a:prstGeom prst="roundRect">
          <a:avLst/>
        </a:prstGeom>
        <a:solidFill>
          <a:schemeClr val="bg2">
            <a:lumMod val="50000"/>
            <a:alpha val="31000"/>
          </a:schemeClr>
        </a:solidFill>
        <a:ln>
          <a:noFill/>
        </a:ln>
        <a:scene3d>
          <a:camera prst="orthographicFront"/>
          <a:lightRig rig="threePt" dir="t"/>
        </a:scene3d>
        <a:sp3d prstMaterial="dkEdge">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solidFill>
              <a:schemeClr val="tx1"/>
            </a:solidFill>
          </a:endParaRPr>
        </a:p>
      </xdr:txBody>
    </xdr:sp>
    <xdr:clientData/>
  </xdr:twoCellAnchor>
  <xdr:twoCellAnchor>
    <xdr:from>
      <xdr:col>8</xdr:col>
      <xdr:colOff>19050</xdr:colOff>
      <xdr:row>481</xdr:row>
      <xdr:rowOff>0</xdr:rowOff>
    </xdr:from>
    <xdr:to>
      <xdr:col>9</xdr:col>
      <xdr:colOff>28575</xdr:colOff>
      <xdr:row>482</xdr:row>
      <xdr:rowOff>38100</xdr:rowOff>
    </xdr:to>
    <xdr:sp macro="" textlink="">
      <xdr:nvSpPr>
        <xdr:cNvPr id="310" name="Rectangle à coins arrondis 309"/>
        <xdr:cNvSpPr/>
      </xdr:nvSpPr>
      <xdr:spPr>
        <a:xfrm>
          <a:off x="7953375" y="108461175"/>
          <a:ext cx="1200150" cy="266700"/>
        </a:xfrm>
        <a:prstGeom prst="roundRect">
          <a:avLst/>
        </a:prstGeom>
        <a:solidFill>
          <a:schemeClr val="bg2">
            <a:lumMod val="50000"/>
            <a:alpha val="31000"/>
          </a:schemeClr>
        </a:solidFill>
        <a:ln>
          <a:noFill/>
        </a:ln>
        <a:scene3d>
          <a:camera prst="orthographicFront"/>
          <a:lightRig rig="threePt" dir="t"/>
        </a:scene3d>
        <a:sp3d prstMaterial="dkEdge">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solidFill>
              <a:schemeClr val="tx1"/>
            </a:solidFill>
          </a:endParaRPr>
        </a:p>
      </xdr:txBody>
    </xdr:sp>
    <xdr:clientData/>
  </xdr:twoCellAnchor>
  <xdr:twoCellAnchor>
    <xdr:from>
      <xdr:col>8</xdr:col>
      <xdr:colOff>19050</xdr:colOff>
      <xdr:row>483</xdr:row>
      <xdr:rowOff>85724</xdr:rowOff>
    </xdr:from>
    <xdr:to>
      <xdr:col>9</xdr:col>
      <xdr:colOff>28575</xdr:colOff>
      <xdr:row>483</xdr:row>
      <xdr:rowOff>333375</xdr:rowOff>
    </xdr:to>
    <xdr:sp macro="" textlink="">
      <xdr:nvSpPr>
        <xdr:cNvPr id="311" name="Rectangle à coins arrondis 310"/>
        <xdr:cNvSpPr/>
      </xdr:nvSpPr>
      <xdr:spPr>
        <a:xfrm>
          <a:off x="7953375" y="109013624"/>
          <a:ext cx="1200150" cy="247651"/>
        </a:xfrm>
        <a:prstGeom prst="roundRect">
          <a:avLst/>
        </a:prstGeom>
        <a:solidFill>
          <a:schemeClr val="bg2">
            <a:lumMod val="50000"/>
            <a:alpha val="31000"/>
          </a:schemeClr>
        </a:solidFill>
        <a:ln>
          <a:noFill/>
        </a:ln>
        <a:scene3d>
          <a:camera prst="orthographicFront"/>
          <a:lightRig rig="threePt" dir="t"/>
        </a:scene3d>
        <a:sp3d prstMaterial="dkEdge">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solidFill>
              <a:schemeClr val="tx1"/>
            </a:solidFill>
          </a:endParaRPr>
        </a:p>
      </xdr:txBody>
    </xdr:sp>
    <xdr:clientData/>
  </xdr:twoCellAnchor>
  <xdr:twoCellAnchor>
    <xdr:from>
      <xdr:col>6</xdr:col>
      <xdr:colOff>9525</xdr:colOff>
      <xdr:row>471</xdr:row>
      <xdr:rowOff>19050</xdr:rowOff>
    </xdr:from>
    <xdr:to>
      <xdr:col>6</xdr:col>
      <xdr:colOff>1152525</xdr:colOff>
      <xdr:row>472</xdr:row>
      <xdr:rowOff>0</xdr:rowOff>
    </xdr:to>
    <xdr:sp macro="" textlink="">
      <xdr:nvSpPr>
        <xdr:cNvPr id="315" name="Rectangle 314"/>
        <xdr:cNvSpPr/>
      </xdr:nvSpPr>
      <xdr:spPr>
        <a:xfrm>
          <a:off x="5943600" y="105765600"/>
          <a:ext cx="1143000" cy="638175"/>
        </a:xfrm>
        <a:prstGeom prst="rect">
          <a:avLst/>
        </a:prstGeom>
        <a:solidFill>
          <a:schemeClr val="bg2">
            <a:lumMod val="50000"/>
            <a:alpha val="31000"/>
          </a:schemeClr>
        </a:solidFill>
        <a:ln>
          <a:noFill/>
        </a:ln>
        <a:scene3d>
          <a:camera prst="orthographicFront"/>
          <a:lightRig rig="threePt" dir="t"/>
        </a:scene3d>
        <a:sp3d prstMaterial="dkEdge">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solidFill>
              <a:schemeClr val="tx1"/>
            </a:solidFill>
          </a:endParaRPr>
        </a:p>
      </xdr:txBody>
    </xdr:sp>
    <xdr:clientData/>
  </xdr:twoCellAnchor>
  <xdr:twoCellAnchor>
    <xdr:from>
      <xdr:col>7</xdr:col>
      <xdr:colOff>988217</xdr:colOff>
      <xdr:row>471</xdr:row>
      <xdr:rowOff>0</xdr:rowOff>
    </xdr:from>
    <xdr:to>
      <xdr:col>8</xdr:col>
      <xdr:colOff>1190623</xdr:colOff>
      <xdr:row>472</xdr:row>
      <xdr:rowOff>9525</xdr:rowOff>
    </xdr:to>
    <xdr:sp macro="" textlink="">
      <xdr:nvSpPr>
        <xdr:cNvPr id="317" name="Rectangle 316"/>
        <xdr:cNvSpPr/>
      </xdr:nvSpPr>
      <xdr:spPr>
        <a:xfrm>
          <a:off x="8262936" y="104620219"/>
          <a:ext cx="1190625" cy="664369"/>
        </a:xfrm>
        <a:prstGeom prst="rect">
          <a:avLst/>
        </a:prstGeom>
        <a:solidFill>
          <a:schemeClr val="bg2">
            <a:lumMod val="50000"/>
            <a:alpha val="31000"/>
          </a:schemeClr>
        </a:solidFill>
        <a:ln>
          <a:noFill/>
        </a:ln>
        <a:scene3d>
          <a:camera prst="orthographicFront"/>
          <a:lightRig rig="threePt" dir="t"/>
        </a:scene3d>
        <a:sp3d prstMaterial="dkEdge">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solidFill>
              <a:schemeClr val="tx1"/>
            </a:solidFill>
          </a:endParaRPr>
        </a:p>
      </xdr:txBody>
    </xdr:sp>
    <xdr:clientData/>
  </xdr:twoCellAnchor>
  <xdr:twoCellAnchor>
    <xdr:from>
      <xdr:col>5</xdr:col>
      <xdr:colOff>1362074</xdr:colOff>
      <xdr:row>503</xdr:row>
      <xdr:rowOff>228599</xdr:rowOff>
    </xdr:from>
    <xdr:to>
      <xdr:col>7</xdr:col>
      <xdr:colOff>9524</xdr:colOff>
      <xdr:row>505</xdr:row>
      <xdr:rowOff>28574</xdr:rowOff>
    </xdr:to>
    <xdr:sp macro="" textlink="">
      <xdr:nvSpPr>
        <xdr:cNvPr id="318" name="Rectangle 317"/>
        <xdr:cNvSpPr/>
      </xdr:nvSpPr>
      <xdr:spPr>
        <a:xfrm>
          <a:off x="5934074" y="114147599"/>
          <a:ext cx="1171575" cy="714375"/>
        </a:xfrm>
        <a:prstGeom prst="rect">
          <a:avLst/>
        </a:prstGeom>
        <a:solidFill>
          <a:schemeClr val="bg2">
            <a:lumMod val="50000"/>
            <a:alpha val="31000"/>
          </a:schemeClr>
        </a:solidFill>
        <a:ln>
          <a:noFill/>
        </a:ln>
        <a:scene3d>
          <a:camera prst="orthographicFront"/>
          <a:lightRig rig="threePt" dir="t"/>
        </a:scene3d>
        <a:sp3d prstMaterial="dkEdge">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solidFill>
              <a:schemeClr val="tx1"/>
            </a:solidFill>
          </a:endParaRPr>
        </a:p>
      </xdr:txBody>
    </xdr:sp>
    <xdr:clientData/>
  </xdr:twoCellAnchor>
  <xdr:twoCellAnchor>
    <xdr:from>
      <xdr:col>7</xdr:col>
      <xdr:colOff>988217</xdr:colOff>
      <xdr:row>504</xdr:row>
      <xdr:rowOff>0</xdr:rowOff>
    </xdr:from>
    <xdr:to>
      <xdr:col>9</xdr:col>
      <xdr:colOff>21430</xdr:colOff>
      <xdr:row>505</xdr:row>
      <xdr:rowOff>19050</xdr:rowOff>
    </xdr:to>
    <xdr:sp macro="" textlink="">
      <xdr:nvSpPr>
        <xdr:cNvPr id="319" name="Rectangle 318"/>
        <xdr:cNvSpPr/>
      </xdr:nvSpPr>
      <xdr:spPr>
        <a:xfrm>
          <a:off x="8262936" y="113049844"/>
          <a:ext cx="1212057" cy="709612"/>
        </a:xfrm>
        <a:prstGeom prst="rect">
          <a:avLst/>
        </a:prstGeom>
        <a:solidFill>
          <a:schemeClr val="bg2">
            <a:lumMod val="50000"/>
            <a:alpha val="31000"/>
          </a:schemeClr>
        </a:solidFill>
        <a:ln>
          <a:noFill/>
        </a:ln>
        <a:scene3d>
          <a:camera prst="orthographicFront"/>
          <a:lightRig rig="threePt" dir="t"/>
        </a:scene3d>
        <a:sp3d prstMaterial="dkEdge">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solidFill>
              <a:schemeClr val="tx1"/>
            </a:solidFill>
          </a:endParaRPr>
        </a:p>
      </xdr:txBody>
    </xdr:sp>
    <xdr:clientData/>
  </xdr:twoCellAnchor>
  <xdr:twoCellAnchor>
    <xdr:from>
      <xdr:col>5</xdr:col>
      <xdr:colOff>1333500</xdr:colOff>
      <xdr:row>493</xdr:row>
      <xdr:rowOff>0</xdr:rowOff>
    </xdr:from>
    <xdr:to>
      <xdr:col>7</xdr:col>
      <xdr:colOff>28575</xdr:colOff>
      <xdr:row>494</xdr:row>
      <xdr:rowOff>38100</xdr:rowOff>
    </xdr:to>
    <xdr:sp macro="" textlink="">
      <xdr:nvSpPr>
        <xdr:cNvPr id="320" name="Rectangle à coins arrondis 319"/>
        <xdr:cNvSpPr/>
      </xdr:nvSpPr>
      <xdr:spPr>
        <a:xfrm>
          <a:off x="5905500" y="111366300"/>
          <a:ext cx="1219200" cy="266700"/>
        </a:xfrm>
        <a:prstGeom prst="roundRect">
          <a:avLst/>
        </a:prstGeom>
        <a:solidFill>
          <a:schemeClr val="bg2">
            <a:lumMod val="50000"/>
            <a:alpha val="31000"/>
          </a:schemeClr>
        </a:solidFill>
        <a:ln>
          <a:noFill/>
        </a:ln>
        <a:scene3d>
          <a:camera prst="orthographicFront"/>
          <a:lightRig rig="threePt" dir="t"/>
        </a:scene3d>
        <a:sp3d prstMaterial="dkEdge">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solidFill>
              <a:schemeClr val="tx1"/>
            </a:solidFill>
          </a:endParaRPr>
        </a:p>
      </xdr:txBody>
    </xdr:sp>
    <xdr:clientData/>
  </xdr:twoCellAnchor>
  <xdr:twoCellAnchor>
    <xdr:from>
      <xdr:col>5</xdr:col>
      <xdr:colOff>1333500</xdr:colOff>
      <xdr:row>495</xdr:row>
      <xdr:rowOff>0</xdr:rowOff>
    </xdr:from>
    <xdr:to>
      <xdr:col>7</xdr:col>
      <xdr:colOff>28575</xdr:colOff>
      <xdr:row>496</xdr:row>
      <xdr:rowOff>0</xdr:rowOff>
    </xdr:to>
    <xdr:sp macro="" textlink="">
      <xdr:nvSpPr>
        <xdr:cNvPr id="321" name="Rectangle à coins arrondis 320"/>
        <xdr:cNvSpPr/>
      </xdr:nvSpPr>
      <xdr:spPr>
        <a:xfrm>
          <a:off x="5905500" y="111823500"/>
          <a:ext cx="1219200" cy="266700"/>
        </a:xfrm>
        <a:prstGeom prst="roundRect">
          <a:avLst/>
        </a:prstGeom>
        <a:solidFill>
          <a:schemeClr val="bg2">
            <a:lumMod val="50000"/>
            <a:alpha val="31000"/>
          </a:schemeClr>
        </a:solidFill>
        <a:ln>
          <a:noFill/>
        </a:ln>
        <a:scene3d>
          <a:camera prst="orthographicFront"/>
          <a:lightRig rig="threePt" dir="t"/>
        </a:scene3d>
        <a:sp3d prstMaterial="dkEdge">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solidFill>
              <a:schemeClr val="tx1"/>
            </a:solidFill>
          </a:endParaRPr>
        </a:p>
      </xdr:txBody>
    </xdr:sp>
    <xdr:clientData/>
  </xdr:twoCellAnchor>
  <xdr:twoCellAnchor>
    <xdr:from>
      <xdr:col>5</xdr:col>
      <xdr:colOff>1333500</xdr:colOff>
      <xdr:row>497</xdr:row>
      <xdr:rowOff>0</xdr:rowOff>
    </xdr:from>
    <xdr:to>
      <xdr:col>7</xdr:col>
      <xdr:colOff>28575</xdr:colOff>
      <xdr:row>498</xdr:row>
      <xdr:rowOff>0</xdr:rowOff>
    </xdr:to>
    <xdr:sp macro="" textlink="">
      <xdr:nvSpPr>
        <xdr:cNvPr id="322" name="Rectangle à coins arrondis 321"/>
        <xdr:cNvSpPr/>
      </xdr:nvSpPr>
      <xdr:spPr>
        <a:xfrm>
          <a:off x="5905500" y="112356900"/>
          <a:ext cx="1219200" cy="266700"/>
        </a:xfrm>
        <a:prstGeom prst="roundRect">
          <a:avLst/>
        </a:prstGeom>
        <a:solidFill>
          <a:schemeClr val="bg2">
            <a:lumMod val="50000"/>
            <a:alpha val="31000"/>
          </a:schemeClr>
        </a:solidFill>
        <a:ln>
          <a:noFill/>
        </a:ln>
        <a:scene3d>
          <a:camera prst="orthographicFront"/>
          <a:lightRig rig="threePt" dir="t"/>
        </a:scene3d>
        <a:sp3d prstMaterial="dkEdge">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solidFill>
              <a:schemeClr val="tx1"/>
            </a:solidFill>
          </a:endParaRPr>
        </a:p>
      </xdr:txBody>
    </xdr:sp>
    <xdr:clientData/>
  </xdr:twoCellAnchor>
  <xdr:twoCellAnchor>
    <xdr:from>
      <xdr:col>5</xdr:col>
      <xdr:colOff>1314450</xdr:colOff>
      <xdr:row>501</xdr:row>
      <xdr:rowOff>47625</xdr:rowOff>
    </xdr:from>
    <xdr:to>
      <xdr:col>7</xdr:col>
      <xdr:colOff>9525</xdr:colOff>
      <xdr:row>501</xdr:row>
      <xdr:rowOff>314325</xdr:rowOff>
    </xdr:to>
    <xdr:sp macro="" textlink="">
      <xdr:nvSpPr>
        <xdr:cNvPr id="324" name="Rectangle à coins arrondis 323"/>
        <xdr:cNvSpPr/>
      </xdr:nvSpPr>
      <xdr:spPr>
        <a:xfrm>
          <a:off x="5886450" y="113471325"/>
          <a:ext cx="1219200" cy="266700"/>
        </a:xfrm>
        <a:prstGeom prst="roundRect">
          <a:avLst/>
        </a:prstGeom>
        <a:solidFill>
          <a:schemeClr val="bg2">
            <a:lumMod val="50000"/>
            <a:alpha val="31000"/>
          </a:schemeClr>
        </a:solidFill>
        <a:ln>
          <a:noFill/>
        </a:ln>
        <a:scene3d>
          <a:camera prst="orthographicFront"/>
          <a:lightRig rig="threePt" dir="t"/>
        </a:scene3d>
        <a:sp3d prstMaterial="dkEdge">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solidFill>
              <a:schemeClr val="tx1"/>
            </a:solidFill>
          </a:endParaRPr>
        </a:p>
      </xdr:txBody>
    </xdr:sp>
    <xdr:clientData/>
  </xdr:twoCellAnchor>
  <xdr:twoCellAnchor>
    <xdr:from>
      <xdr:col>6</xdr:col>
      <xdr:colOff>66675</xdr:colOff>
      <xdr:row>507</xdr:row>
      <xdr:rowOff>0</xdr:rowOff>
    </xdr:from>
    <xdr:to>
      <xdr:col>7</xdr:col>
      <xdr:colOff>47625</xdr:colOff>
      <xdr:row>508</xdr:row>
      <xdr:rowOff>38100</xdr:rowOff>
    </xdr:to>
    <xdr:sp macro="" textlink="">
      <xdr:nvSpPr>
        <xdr:cNvPr id="325" name="Rectangle à coins arrondis 324"/>
        <xdr:cNvSpPr/>
      </xdr:nvSpPr>
      <xdr:spPr>
        <a:xfrm>
          <a:off x="6000750" y="115404900"/>
          <a:ext cx="1143000" cy="266700"/>
        </a:xfrm>
        <a:prstGeom prst="roundRect">
          <a:avLst/>
        </a:prstGeom>
        <a:solidFill>
          <a:schemeClr val="bg2">
            <a:lumMod val="50000"/>
            <a:alpha val="31000"/>
          </a:schemeClr>
        </a:solidFill>
        <a:ln>
          <a:noFill/>
        </a:ln>
        <a:scene3d>
          <a:camera prst="orthographicFront"/>
          <a:lightRig rig="threePt" dir="t"/>
        </a:scene3d>
        <a:sp3d prstMaterial="dkEdge">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solidFill>
              <a:schemeClr val="tx1"/>
            </a:solidFill>
          </a:endParaRPr>
        </a:p>
      </xdr:txBody>
    </xdr:sp>
    <xdr:clientData/>
  </xdr:twoCellAnchor>
  <xdr:twoCellAnchor>
    <xdr:from>
      <xdr:col>6</xdr:col>
      <xdr:colOff>66675</xdr:colOff>
      <xdr:row>509</xdr:row>
      <xdr:rowOff>0</xdr:rowOff>
    </xdr:from>
    <xdr:to>
      <xdr:col>7</xdr:col>
      <xdr:colOff>47625</xdr:colOff>
      <xdr:row>510</xdr:row>
      <xdr:rowOff>38100</xdr:rowOff>
    </xdr:to>
    <xdr:sp macro="" textlink="">
      <xdr:nvSpPr>
        <xdr:cNvPr id="326" name="Rectangle à coins arrondis 325"/>
        <xdr:cNvSpPr/>
      </xdr:nvSpPr>
      <xdr:spPr>
        <a:xfrm>
          <a:off x="6000750" y="115862100"/>
          <a:ext cx="1143000" cy="266700"/>
        </a:xfrm>
        <a:prstGeom prst="roundRect">
          <a:avLst/>
        </a:prstGeom>
        <a:solidFill>
          <a:schemeClr val="bg2">
            <a:lumMod val="50000"/>
            <a:alpha val="31000"/>
          </a:schemeClr>
        </a:solidFill>
        <a:ln>
          <a:noFill/>
        </a:ln>
        <a:scene3d>
          <a:camera prst="orthographicFront"/>
          <a:lightRig rig="threePt" dir="t"/>
        </a:scene3d>
        <a:sp3d prstMaterial="dkEdge">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solidFill>
              <a:schemeClr val="tx1"/>
            </a:solidFill>
          </a:endParaRPr>
        </a:p>
      </xdr:txBody>
    </xdr:sp>
    <xdr:clientData/>
  </xdr:twoCellAnchor>
  <xdr:twoCellAnchor>
    <xdr:from>
      <xdr:col>6</xdr:col>
      <xdr:colOff>66675</xdr:colOff>
      <xdr:row>511</xdr:row>
      <xdr:rowOff>104775</xdr:rowOff>
    </xdr:from>
    <xdr:to>
      <xdr:col>7</xdr:col>
      <xdr:colOff>47625</xdr:colOff>
      <xdr:row>511</xdr:row>
      <xdr:rowOff>371475</xdr:rowOff>
    </xdr:to>
    <xdr:sp macro="" textlink="">
      <xdr:nvSpPr>
        <xdr:cNvPr id="327" name="Rectangle à coins arrondis 326"/>
        <xdr:cNvSpPr/>
      </xdr:nvSpPr>
      <xdr:spPr>
        <a:xfrm>
          <a:off x="6000750" y="116424075"/>
          <a:ext cx="1143000" cy="266700"/>
        </a:xfrm>
        <a:prstGeom prst="roundRect">
          <a:avLst/>
        </a:prstGeom>
        <a:solidFill>
          <a:schemeClr val="bg2">
            <a:lumMod val="50000"/>
            <a:alpha val="31000"/>
          </a:schemeClr>
        </a:solidFill>
        <a:ln>
          <a:noFill/>
        </a:ln>
        <a:scene3d>
          <a:camera prst="orthographicFront"/>
          <a:lightRig rig="threePt" dir="t"/>
        </a:scene3d>
        <a:sp3d prstMaterial="dkEdge">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solidFill>
              <a:schemeClr val="tx1"/>
            </a:solidFill>
          </a:endParaRPr>
        </a:p>
      </xdr:txBody>
    </xdr:sp>
    <xdr:clientData/>
  </xdr:twoCellAnchor>
  <xdr:twoCellAnchor>
    <xdr:from>
      <xdr:col>8</xdr:col>
      <xdr:colOff>66675</xdr:colOff>
      <xdr:row>507</xdr:row>
      <xdr:rowOff>0</xdr:rowOff>
    </xdr:from>
    <xdr:to>
      <xdr:col>9</xdr:col>
      <xdr:colOff>19050</xdr:colOff>
      <xdr:row>508</xdr:row>
      <xdr:rowOff>38100</xdr:rowOff>
    </xdr:to>
    <xdr:sp macro="" textlink="">
      <xdr:nvSpPr>
        <xdr:cNvPr id="328" name="Rectangle à coins arrondis 327"/>
        <xdr:cNvSpPr/>
      </xdr:nvSpPr>
      <xdr:spPr>
        <a:xfrm>
          <a:off x="8001000" y="115404900"/>
          <a:ext cx="1143000" cy="266700"/>
        </a:xfrm>
        <a:prstGeom prst="roundRect">
          <a:avLst/>
        </a:prstGeom>
        <a:solidFill>
          <a:schemeClr val="bg2">
            <a:lumMod val="50000"/>
            <a:alpha val="31000"/>
          </a:schemeClr>
        </a:solidFill>
        <a:ln>
          <a:noFill/>
        </a:ln>
        <a:scene3d>
          <a:camera prst="orthographicFront"/>
          <a:lightRig rig="threePt" dir="t"/>
        </a:scene3d>
        <a:sp3d prstMaterial="dkEdge">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solidFill>
              <a:schemeClr val="tx1"/>
            </a:solidFill>
          </a:endParaRPr>
        </a:p>
      </xdr:txBody>
    </xdr:sp>
    <xdr:clientData/>
  </xdr:twoCellAnchor>
  <xdr:twoCellAnchor>
    <xdr:from>
      <xdr:col>8</xdr:col>
      <xdr:colOff>66675</xdr:colOff>
      <xdr:row>509</xdr:row>
      <xdr:rowOff>0</xdr:rowOff>
    </xdr:from>
    <xdr:to>
      <xdr:col>9</xdr:col>
      <xdr:colOff>19050</xdr:colOff>
      <xdr:row>510</xdr:row>
      <xdr:rowOff>38100</xdr:rowOff>
    </xdr:to>
    <xdr:sp macro="" textlink="">
      <xdr:nvSpPr>
        <xdr:cNvPr id="329" name="Rectangle à coins arrondis 328"/>
        <xdr:cNvSpPr/>
      </xdr:nvSpPr>
      <xdr:spPr>
        <a:xfrm>
          <a:off x="8001000" y="115862100"/>
          <a:ext cx="1143000" cy="266700"/>
        </a:xfrm>
        <a:prstGeom prst="roundRect">
          <a:avLst/>
        </a:prstGeom>
        <a:solidFill>
          <a:schemeClr val="bg2">
            <a:lumMod val="50000"/>
            <a:alpha val="31000"/>
          </a:schemeClr>
        </a:solidFill>
        <a:ln>
          <a:noFill/>
        </a:ln>
        <a:scene3d>
          <a:camera prst="orthographicFront"/>
          <a:lightRig rig="threePt" dir="t"/>
        </a:scene3d>
        <a:sp3d prstMaterial="dkEdge">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solidFill>
              <a:schemeClr val="tx1"/>
            </a:solidFill>
          </a:endParaRPr>
        </a:p>
      </xdr:txBody>
    </xdr:sp>
    <xdr:clientData/>
  </xdr:twoCellAnchor>
  <xdr:twoCellAnchor>
    <xdr:from>
      <xdr:col>8</xdr:col>
      <xdr:colOff>66675</xdr:colOff>
      <xdr:row>511</xdr:row>
      <xdr:rowOff>104775</xdr:rowOff>
    </xdr:from>
    <xdr:to>
      <xdr:col>9</xdr:col>
      <xdr:colOff>19050</xdr:colOff>
      <xdr:row>511</xdr:row>
      <xdr:rowOff>371475</xdr:rowOff>
    </xdr:to>
    <xdr:sp macro="" textlink="">
      <xdr:nvSpPr>
        <xdr:cNvPr id="330" name="Rectangle à coins arrondis 329"/>
        <xdr:cNvSpPr/>
      </xdr:nvSpPr>
      <xdr:spPr>
        <a:xfrm>
          <a:off x="8001000" y="116424075"/>
          <a:ext cx="1143000" cy="266700"/>
        </a:xfrm>
        <a:prstGeom prst="roundRect">
          <a:avLst/>
        </a:prstGeom>
        <a:solidFill>
          <a:schemeClr val="bg2">
            <a:lumMod val="50000"/>
            <a:alpha val="31000"/>
          </a:schemeClr>
        </a:solidFill>
        <a:ln>
          <a:noFill/>
        </a:ln>
        <a:scene3d>
          <a:camera prst="orthographicFront"/>
          <a:lightRig rig="threePt" dir="t"/>
        </a:scene3d>
        <a:sp3d prstMaterial="dkEdge">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solidFill>
              <a:schemeClr val="tx1"/>
            </a:solidFill>
          </a:endParaRPr>
        </a:p>
      </xdr:txBody>
    </xdr:sp>
    <xdr:clientData/>
  </xdr:twoCellAnchor>
  <xdr:twoCellAnchor>
    <xdr:from>
      <xdr:col>6</xdr:col>
      <xdr:colOff>57150</xdr:colOff>
      <xdr:row>515</xdr:row>
      <xdr:rowOff>0</xdr:rowOff>
    </xdr:from>
    <xdr:to>
      <xdr:col>7</xdr:col>
      <xdr:colOff>38100</xdr:colOff>
      <xdr:row>516</xdr:row>
      <xdr:rowOff>38100</xdr:rowOff>
    </xdr:to>
    <xdr:sp macro="" textlink="">
      <xdr:nvSpPr>
        <xdr:cNvPr id="331" name="Rectangle à coins arrondis 330"/>
        <xdr:cNvSpPr/>
      </xdr:nvSpPr>
      <xdr:spPr>
        <a:xfrm>
          <a:off x="5991225" y="117500400"/>
          <a:ext cx="1143000" cy="266700"/>
        </a:xfrm>
        <a:prstGeom prst="roundRect">
          <a:avLst/>
        </a:prstGeom>
        <a:solidFill>
          <a:schemeClr val="bg2">
            <a:lumMod val="50000"/>
            <a:alpha val="31000"/>
          </a:schemeClr>
        </a:solidFill>
        <a:ln>
          <a:noFill/>
        </a:ln>
        <a:scene3d>
          <a:camera prst="orthographicFront"/>
          <a:lightRig rig="threePt" dir="t"/>
        </a:scene3d>
        <a:sp3d prstMaterial="dkEdge">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solidFill>
              <a:schemeClr val="tx1"/>
            </a:solidFill>
          </a:endParaRPr>
        </a:p>
      </xdr:txBody>
    </xdr:sp>
    <xdr:clientData/>
  </xdr:twoCellAnchor>
  <xdr:twoCellAnchor>
    <xdr:from>
      <xdr:col>6</xdr:col>
      <xdr:colOff>57150</xdr:colOff>
      <xdr:row>517</xdr:row>
      <xdr:rowOff>0</xdr:rowOff>
    </xdr:from>
    <xdr:to>
      <xdr:col>7</xdr:col>
      <xdr:colOff>38100</xdr:colOff>
      <xdr:row>518</xdr:row>
      <xdr:rowOff>38100</xdr:rowOff>
    </xdr:to>
    <xdr:sp macro="" textlink="">
      <xdr:nvSpPr>
        <xdr:cNvPr id="332" name="Rectangle à coins arrondis 331"/>
        <xdr:cNvSpPr/>
      </xdr:nvSpPr>
      <xdr:spPr>
        <a:xfrm>
          <a:off x="5991225" y="117957600"/>
          <a:ext cx="1143000" cy="266700"/>
        </a:xfrm>
        <a:prstGeom prst="roundRect">
          <a:avLst/>
        </a:prstGeom>
        <a:solidFill>
          <a:schemeClr val="bg2">
            <a:lumMod val="50000"/>
            <a:alpha val="31000"/>
          </a:schemeClr>
        </a:solidFill>
        <a:ln>
          <a:noFill/>
        </a:ln>
        <a:scene3d>
          <a:camera prst="orthographicFront"/>
          <a:lightRig rig="threePt" dir="t"/>
        </a:scene3d>
        <a:sp3d prstMaterial="dkEdge">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solidFill>
              <a:schemeClr val="tx1"/>
            </a:solidFill>
          </a:endParaRPr>
        </a:p>
      </xdr:txBody>
    </xdr:sp>
    <xdr:clientData/>
  </xdr:twoCellAnchor>
  <xdr:twoCellAnchor>
    <xdr:from>
      <xdr:col>6</xdr:col>
      <xdr:colOff>57150</xdr:colOff>
      <xdr:row>519</xdr:row>
      <xdr:rowOff>0</xdr:rowOff>
    </xdr:from>
    <xdr:to>
      <xdr:col>7</xdr:col>
      <xdr:colOff>38100</xdr:colOff>
      <xdr:row>520</xdr:row>
      <xdr:rowOff>38100</xdr:rowOff>
    </xdr:to>
    <xdr:sp macro="" textlink="">
      <xdr:nvSpPr>
        <xdr:cNvPr id="333" name="Rectangle à coins arrondis 332"/>
        <xdr:cNvSpPr/>
      </xdr:nvSpPr>
      <xdr:spPr>
        <a:xfrm>
          <a:off x="5991225" y="118414800"/>
          <a:ext cx="1143000" cy="266700"/>
        </a:xfrm>
        <a:prstGeom prst="roundRect">
          <a:avLst/>
        </a:prstGeom>
        <a:solidFill>
          <a:schemeClr val="bg2">
            <a:lumMod val="50000"/>
            <a:alpha val="31000"/>
          </a:schemeClr>
        </a:solidFill>
        <a:ln>
          <a:noFill/>
        </a:ln>
        <a:scene3d>
          <a:camera prst="orthographicFront"/>
          <a:lightRig rig="threePt" dir="t"/>
        </a:scene3d>
        <a:sp3d prstMaterial="dkEdge">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solidFill>
              <a:schemeClr val="tx1"/>
            </a:solidFill>
          </a:endParaRPr>
        </a:p>
      </xdr:txBody>
    </xdr:sp>
    <xdr:clientData/>
  </xdr:twoCellAnchor>
  <xdr:twoCellAnchor>
    <xdr:from>
      <xdr:col>6</xdr:col>
      <xdr:colOff>57150</xdr:colOff>
      <xdr:row>521</xdr:row>
      <xdr:rowOff>95250</xdr:rowOff>
    </xdr:from>
    <xdr:to>
      <xdr:col>7</xdr:col>
      <xdr:colOff>38100</xdr:colOff>
      <xdr:row>521</xdr:row>
      <xdr:rowOff>361950</xdr:rowOff>
    </xdr:to>
    <xdr:sp macro="" textlink="">
      <xdr:nvSpPr>
        <xdr:cNvPr id="334" name="Rectangle à coins arrondis 333"/>
        <xdr:cNvSpPr/>
      </xdr:nvSpPr>
      <xdr:spPr>
        <a:xfrm>
          <a:off x="5991225" y="118967250"/>
          <a:ext cx="1143000" cy="266700"/>
        </a:xfrm>
        <a:prstGeom prst="roundRect">
          <a:avLst/>
        </a:prstGeom>
        <a:solidFill>
          <a:schemeClr val="bg2">
            <a:lumMod val="50000"/>
            <a:alpha val="31000"/>
          </a:schemeClr>
        </a:solidFill>
        <a:ln>
          <a:noFill/>
        </a:ln>
        <a:scene3d>
          <a:camera prst="orthographicFront"/>
          <a:lightRig rig="threePt" dir="t"/>
        </a:scene3d>
        <a:sp3d prstMaterial="dkEdge">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solidFill>
              <a:schemeClr val="tx1"/>
            </a:solidFill>
          </a:endParaRPr>
        </a:p>
      </xdr:txBody>
    </xdr:sp>
    <xdr:clientData/>
  </xdr:twoCellAnchor>
  <xdr:twoCellAnchor>
    <xdr:from>
      <xdr:col>8</xdr:col>
      <xdr:colOff>57150</xdr:colOff>
      <xdr:row>515</xdr:row>
      <xdr:rowOff>0</xdr:rowOff>
    </xdr:from>
    <xdr:to>
      <xdr:col>9</xdr:col>
      <xdr:colOff>9525</xdr:colOff>
      <xdr:row>516</xdr:row>
      <xdr:rowOff>38100</xdr:rowOff>
    </xdr:to>
    <xdr:sp macro="" textlink="">
      <xdr:nvSpPr>
        <xdr:cNvPr id="335" name="Rectangle à coins arrondis 334"/>
        <xdr:cNvSpPr/>
      </xdr:nvSpPr>
      <xdr:spPr>
        <a:xfrm>
          <a:off x="7991475" y="117500400"/>
          <a:ext cx="1143000" cy="266700"/>
        </a:xfrm>
        <a:prstGeom prst="roundRect">
          <a:avLst/>
        </a:prstGeom>
        <a:solidFill>
          <a:schemeClr val="bg2">
            <a:lumMod val="50000"/>
            <a:alpha val="31000"/>
          </a:schemeClr>
        </a:solidFill>
        <a:ln>
          <a:noFill/>
        </a:ln>
        <a:scene3d>
          <a:camera prst="orthographicFront"/>
          <a:lightRig rig="threePt" dir="t"/>
        </a:scene3d>
        <a:sp3d prstMaterial="dkEdge">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solidFill>
              <a:schemeClr val="tx1"/>
            </a:solidFill>
          </a:endParaRPr>
        </a:p>
      </xdr:txBody>
    </xdr:sp>
    <xdr:clientData/>
  </xdr:twoCellAnchor>
  <xdr:twoCellAnchor>
    <xdr:from>
      <xdr:col>8</xdr:col>
      <xdr:colOff>57150</xdr:colOff>
      <xdr:row>517</xdr:row>
      <xdr:rowOff>0</xdr:rowOff>
    </xdr:from>
    <xdr:to>
      <xdr:col>9</xdr:col>
      <xdr:colOff>9525</xdr:colOff>
      <xdr:row>518</xdr:row>
      <xdr:rowOff>38100</xdr:rowOff>
    </xdr:to>
    <xdr:sp macro="" textlink="">
      <xdr:nvSpPr>
        <xdr:cNvPr id="336" name="Rectangle à coins arrondis 335"/>
        <xdr:cNvSpPr/>
      </xdr:nvSpPr>
      <xdr:spPr>
        <a:xfrm>
          <a:off x="7991475" y="117957600"/>
          <a:ext cx="1143000" cy="266700"/>
        </a:xfrm>
        <a:prstGeom prst="roundRect">
          <a:avLst/>
        </a:prstGeom>
        <a:solidFill>
          <a:schemeClr val="bg2">
            <a:lumMod val="50000"/>
            <a:alpha val="31000"/>
          </a:schemeClr>
        </a:solidFill>
        <a:ln>
          <a:noFill/>
        </a:ln>
        <a:scene3d>
          <a:camera prst="orthographicFront"/>
          <a:lightRig rig="threePt" dir="t"/>
        </a:scene3d>
        <a:sp3d prstMaterial="dkEdge">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solidFill>
              <a:schemeClr val="tx1"/>
            </a:solidFill>
          </a:endParaRPr>
        </a:p>
      </xdr:txBody>
    </xdr:sp>
    <xdr:clientData/>
  </xdr:twoCellAnchor>
  <xdr:twoCellAnchor>
    <xdr:from>
      <xdr:col>8</xdr:col>
      <xdr:colOff>57150</xdr:colOff>
      <xdr:row>519</xdr:row>
      <xdr:rowOff>0</xdr:rowOff>
    </xdr:from>
    <xdr:to>
      <xdr:col>9</xdr:col>
      <xdr:colOff>9525</xdr:colOff>
      <xdr:row>520</xdr:row>
      <xdr:rowOff>38100</xdr:rowOff>
    </xdr:to>
    <xdr:sp macro="" textlink="">
      <xdr:nvSpPr>
        <xdr:cNvPr id="337" name="Rectangle à coins arrondis 336"/>
        <xdr:cNvSpPr/>
      </xdr:nvSpPr>
      <xdr:spPr>
        <a:xfrm>
          <a:off x="7991475" y="118414800"/>
          <a:ext cx="1143000" cy="266700"/>
        </a:xfrm>
        <a:prstGeom prst="roundRect">
          <a:avLst/>
        </a:prstGeom>
        <a:solidFill>
          <a:schemeClr val="bg2">
            <a:lumMod val="50000"/>
            <a:alpha val="31000"/>
          </a:schemeClr>
        </a:solidFill>
        <a:ln>
          <a:noFill/>
        </a:ln>
        <a:scene3d>
          <a:camera prst="orthographicFront"/>
          <a:lightRig rig="threePt" dir="t"/>
        </a:scene3d>
        <a:sp3d prstMaterial="dkEdge">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solidFill>
              <a:schemeClr val="tx1"/>
            </a:solidFill>
          </a:endParaRPr>
        </a:p>
      </xdr:txBody>
    </xdr:sp>
    <xdr:clientData/>
  </xdr:twoCellAnchor>
  <xdr:twoCellAnchor>
    <xdr:from>
      <xdr:col>8</xdr:col>
      <xdr:colOff>57150</xdr:colOff>
      <xdr:row>521</xdr:row>
      <xdr:rowOff>95250</xdr:rowOff>
    </xdr:from>
    <xdr:to>
      <xdr:col>9</xdr:col>
      <xdr:colOff>9525</xdr:colOff>
      <xdr:row>521</xdr:row>
      <xdr:rowOff>361950</xdr:rowOff>
    </xdr:to>
    <xdr:sp macro="" textlink="">
      <xdr:nvSpPr>
        <xdr:cNvPr id="338" name="Rectangle à coins arrondis 337"/>
        <xdr:cNvSpPr/>
      </xdr:nvSpPr>
      <xdr:spPr>
        <a:xfrm>
          <a:off x="7991475" y="118967250"/>
          <a:ext cx="1143000" cy="266700"/>
        </a:xfrm>
        <a:prstGeom prst="roundRect">
          <a:avLst/>
        </a:prstGeom>
        <a:solidFill>
          <a:schemeClr val="bg2">
            <a:lumMod val="50000"/>
            <a:alpha val="31000"/>
          </a:schemeClr>
        </a:solidFill>
        <a:ln>
          <a:noFill/>
        </a:ln>
        <a:scene3d>
          <a:camera prst="orthographicFront"/>
          <a:lightRig rig="threePt" dir="t"/>
        </a:scene3d>
        <a:sp3d prstMaterial="dkEdge">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solidFill>
              <a:schemeClr val="tx1"/>
            </a:solidFill>
          </a:endParaRPr>
        </a:p>
      </xdr:txBody>
    </xdr:sp>
    <xdr:clientData/>
  </xdr:twoCellAnchor>
  <xdr:twoCellAnchor>
    <xdr:from>
      <xdr:col>6</xdr:col>
      <xdr:colOff>57150</xdr:colOff>
      <xdr:row>523</xdr:row>
      <xdr:rowOff>123825</xdr:rowOff>
    </xdr:from>
    <xdr:to>
      <xdr:col>7</xdr:col>
      <xdr:colOff>38100</xdr:colOff>
      <xdr:row>523</xdr:row>
      <xdr:rowOff>390525</xdr:rowOff>
    </xdr:to>
    <xdr:sp macro="" textlink="">
      <xdr:nvSpPr>
        <xdr:cNvPr id="339" name="Rectangle à coins arrondis 338"/>
        <xdr:cNvSpPr/>
      </xdr:nvSpPr>
      <xdr:spPr>
        <a:xfrm>
          <a:off x="5991225" y="119957850"/>
          <a:ext cx="1143000" cy="266700"/>
        </a:xfrm>
        <a:prstGeom prst="roundRect">
          <a:avLst/>
        </a:prstGeom>
        <a:solidFill>
          <a:schemeClr val="bg2">
            <a:lumMod val="50000"/>
            <a:alpha val="31000"/>
          </a:schemeClr>
        </a:solidFill>
        <a:ln>
          <a:noFill/>
        </a:ln>
        <a:scene3d>
          <a:camera prst="orthographicFront"/>
          <a:lightRig rig="threePt" dir="t"/>
        </a:scene3d>
        <a:sp3d prstMaterial="dkEdge">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solidFill>
              <a:schemeClr val="tx1"/>
            </a:solidFill>
          </a:endParaRPr>
        </a:p>
      </xdr:txBody>
    </xdr:sp>
    <xdr:clientData/>
  </xdr:twoCellAnchor>
  <xdr:twoCellAnchor>
    <xdr:from>
      <xdr:col>8</xdr:col>
      <xdr:colOff>57150</xdr:colOff>
      <xdr:row>523</xdr:row>
      <xdr:rowOff>123825</xdr:rowOff>
    </xdr:from>
    <xdr:to>
      <xdr:col>9</xdr:col>
      <xdr:colOff>9525</xdr:colOff>
      <xdr:row>523</xdr:row>
      <xdr:rowOff>390525</xdr:rowOff>
    </xdr:to>
    <xdr:sp macro="" textlink="">
      <xdr:nvSpPr>
        <xdr:cNvPr id="340" name="Rectangle à coins arrondis 339"/>
        <xdr:cNvSpPr/>
      </xdr:nvSpPr>
      <xdr:spPr>
        <a:xfrm>
          <a:off x="7991475" y="119957850"/>
          <a:ext cx="1143000" cy="266700"/>
        </a:xfrm>
        <a:prstGeom prst="roundRect">
          <a:avLst/>
        </a:prstGeom>
        <a:solidFill>
          <a:schemeClr val="bg2">
            <a:lumMod val="50000"/>
            <a:alpha val="31000"/>
          </a:schemeClr>
        </a:solidFill>
        <a:ln>
          <a:noFill/>
        </a:ln>
        <a:scene3d>
          <a:camera prst="orthographicFront"/>
          <a:lightRig rig="threePt" dir="t"/>
        </a:scene3d>
        <a:sp3d prstMaterial="dkEdge">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solidFill>
              <a:schemeClr val="tx1"/>
            </a:solidFill>
          </a:endParaRPr>
        </a:p>
      </xdr:txBody>
    </xdr:sp>
    <xdr:clientData/>
  </xdr:twoCellAnchor>
  <xdr:twoCellAnchor>
    <xdr:from>
      <xdr:col>6</xdr:col>
      <xdr:colOff>0</xdr:colOff>
      <xdr:row>535</xdr:row>
      <xdr:rowOff>1</xdr:rowOff>
    </xdr:from>
    <xdr:to>
      <xdr:col>7</xdr:col>
      <xdr:colOff>9525</xdr:colOff>
      <xdr:row>537</xdr:row>
      <xdr:rowOff>9525</xdr:rowOff>
    </xdr:to>
    <xdr:sp macro="" textlink="">
      <xdr:nvSpPr>
        <xdr:cNvPr id="346" name="Rectangle 345"/>
        <xdr:cNvSpPr/>
      </xdr:nvSpPr>
      <xdr:spPr>
        <a:xfrm>
          <a:off x="5934075" y="122653426"/>
          <a:ext cx="1171575" cy="657224"/>
        </a:xfrm>
        <a:prstGeom prst="rect">
          <a:avLst/>
        </a:prstGeom>
        <a:solidFill>
          <a:schemeClr val="bg2">
            <a:lumMod val="50000"/>
            <a:alpha val="31000"/>
          </a:schemeClr>
        </a:solidFill>
        <a:ln>
          <a:noFill/>
        </a:ln>
        <a:scene3d>
          <a:camera prst="orthographicFront"/>
          <a:lightRig rig="threePt" dir="t"/>
        </a:scene3d>
        <a:sp3d prstMaterial="dkEdge">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solidFill>
              <a:schemeClr val="tx1"/>
            </a:solidFill>
          </a:endParaRPr>
        </a:p>
      </xdr:txBody>
    </xdr:sp>
    <xdr:clientData/>
  </xdr:twoCellAnchor>
  <xdr:twoCellAnchor>
    <xdr:from>
      <xdr:col>8</xdr:col>
      <xdr:colOff>1</xdr:colOff>
      <xdr:row>535</xdr:row>
      <xdr:rowOff>1</xdr:rowOff>
    </xdr:from>
    <xdr:to>
      <xdr:col>9</xdr:col>
      <xdr:colOff>9526</xdr:colOff>
      <xdr:row>537</xdr:row>
      <xdr:rowOff>9525</xdr:rowOff>
    </xdr:to>
    <xdr:sp macro="" textlink="">
      <xdr:nvSpPr>
        <xdr:cNvPr id="347" name="Rectangle 346"/>
        <xdr:cNvSpPr/>
      </xdr:nvSpPr>
      <xdr:spPr>
        <a:xfrm>
          <a:off x="7934326" y="122653426"/>
          <a:ext cx="1200150" cy="657224"/>
        </a:xfrm>
        <a:prstGeom prst="rect">
          <a:avLst/>
        </a:prstGeom>
        <a:solidFill>
          <a:schemeClr val="bg2">
            <a:lumMod val="50000"/>
            <a:alpha val="31000"/>
          </a:schemeClr>
        </a:solidFill>
        <a:ln>
          <a:noFill/>
        </a:ln>
        <a:scene3d>
          <a:camera prst="orthographicFront"/>
          <a:lightRig rig="threePt" dir="t"/>
        </a:scene3d>
        <a:sp3d prstMaterial="dkEdge">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solidFill>
              <a:schemeClr val="tx1"/>
            </a:solidFill>
          </a:endParaRPr>
        </a:p>
      </xdr:txBody>
    </xdr:sp>
    <xdr:clientData/>
  </xdr:twoCellAnchor>
  <xdr:twoCellAnchor>
    <xdr:from>
      <xdr:col>6</xdr:col>
      <xdr:colOff>38100</xdr:colOff>
      <xdr:row>538</xdr:row>
      <xdr:rowOff>0</xdr:rowOff>
    </xdr:from>
    <xdr:to>
      <xdr:col>7</xdr:col>
      <xdr:colOff>19050</xdr:colOff>
      <xdr:row>539</xdr:row>
      <xdr:rowOff>38100</xdr:rowOff>
    </xdr:to>
    <xdr:sp macro="" textlink="">
      <xdr:nvSpPr>
        <xdr:cNvPr id="348" name="Rectangle à coins arrondis 347"/>
        <xdr:cNvSpPr/>
      </xdr:nvSpPr>
      <xdr:spPr>
        <a:xfrm>
          <a:off x="5972175" y="123529725"/>
          <a:ext cx="1143000" cy="266700"/>
        </a:xfrm>
        <a:prstGeom prst="roundRect">
          <a:avLst/>
        </a:prstGeom>
        <a:solidFill>
          <a:schemeClr val="bg2">
            <a:lumMod val="50000"/>
            <a:alpha val="31000"/>
          </a:schemeClr>
        </a:solidFill>
        <a:ln>
          <a:noFill/>
        </a:ln>
        <a:scene3d>
          <a:camera prst="orthographicFront"/>
          <a:lightRig rig="threePt" dir="t"/>
        </a:scene3d>
        <a:sp3d prstMaterial="dkEdge">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solidFill>
              <a:schemeClr val="tx1"/>
            </a:solidFill>
          </a:endParaRPr>
        </a:p>
      </xdr:txBody>
    </xdr:sp>
    <xdr:clientData/>
  </xdr:twoCellAnchor>
  <xdr:twoCellAnchor>
    <xdr:from>
      <xdr:col>6</xdr:col>
      <xdr:colOff>38100</xdr:colOff>
      <xdr:row>540</xdr:row>
      <xdr:rowOff>0</xdr:rowOff>
    </xdr:from>
    <xdr:to>
      <xdr:col>7</xdr:col>
      <xdr:colOff>19050</xdr:colOff>
      <xdr:row>541</xdr:row>
      <xdr:rowOff>38100</xdr:rowOff>
    </xdr:to>
    <xdr:sp macro="" textlink="">
      <xdr:nvSpPr>
        <xdr:cNvPr id="349" name="Rectangle à coins arrondis 348"/>
        <xdr:cNvSpPr/>
      </xdr:nvSpPr>
      <xdr:spPr>
        <a:xfrm>
          <a:off x="5972175" y="123986925"/>
          <a:ext cx="1143000" cy="266700"/>
        </a:xfrm>
        <a:prstGeom prst="roundRect">
          <a:avLst/>
        </a:prstGeom>
        <a:solidFill>
          <a:schemeClr val="bg2">
            <a:lumMod val="50000"/>
            <a:alpha val="31000"/>
          </a:schemeClr>
        </a:solidFill>
        <a:ln>
          <a:noFill/>
        </a:ln>
        <a:scene3d>
          <a:camera prst="orthographicFront"/>
          <a:lightRig rig="threePt" dir="t"/>
        </a:scene3d>
        <a:sp3d prstMaterial="dkEdge">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solidFill>
              <a:schemeClr val="tx1"/>
            </a:solidFill>
          </a:endParaRPr>
        </a:p>
      </xdr:txBody>
    </xdr:sp>
    <xdr:clientData/>
  </xdr:twoCellAnchor>
  <xdr:twoCellAnchor>
    <xdr:from>
      <xdr:col>6</xdr:col>
      <xdr:colOff>38100</xdr:colOff>
      <xdr:row>542</xdr:row>
      <xdr:rowOff>0</xdr:rowOff>
    </xdr:from>
    <xdr:to>
      <xdr:col>7</xdr:col>
      <xdr:colOff>19050</xdr:colOff>
      <xdr:row>543</xdr:row>
      <xdr:rowOff>38100</xdr:rowOff>
    </xdr:to>
    <xdr:sp macro="" textlink="">
      <xdr:nvSpPr>
        <xdr:cNvPr id="350" name="Rectangle à coins arrondis 349"/>
        <xdr:cNvSpPr/>
      </xdr:nvSpPr>
      <xdr:spPr>
        <a:xfrm>
          <a:off x="5972175" y="124444125"/>
          <a:ext cx="1143000" cy="266700"/>
        </a:xfrm>
        <a:prstGeom prst="roundRect">
          <a:avLst/>
        </a:prstGeom>
        <a:solidFill>
          <a:schemeClr val="bg2">
            <a:lumMod val="50000"/>
            <a:alpha val="31000"/>
          </a:schemeClr>
        </a:solidFill>
        <a:ln>
          <a:noFill/>
        </a:ln>
        <a:scene3d>
          <a:camera prst="orthographicFront"/>
          <a:lightRig rig="threePt" dir="t"/>
        </a:scene3d>
        <a:sp3d prstMaterial="dkEdge">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solidFill>
              <a:schemeClr val="tx1"/>
            </a:solidFill>
          </a:endParaRPr>
        </a:p>
      </xdr:txBody>
    </xdr:sp>
    <xdr:clientData/>
  </xdr:twoCellAnchor>
  <xdr:twoCellAnchor>
    <xdr:from>
      <xdr:col>6</xdr:col>
      <xdr:colOff>38100</xdr:colOff>
      <xdr:row>544</xdr:row>
      <xdr:rowOff>0</xdr:rowOff>
    </xdr:from>
    <xdr:to>
      <xdr:col>7</xdr:col>
      <xdr:colOff>19050</xdr:colOff>
      <xdr:row>545</xdr:row>
      <xdr:rowOff>38100</xdr:rowOff>
    </xdr:to>
    <xdr:sp macro="" textlink="">
      <xdr:nvSpPr>
        <xdr:cNvPr id="351" name="Rectangle à coins arrondis 350"/>
        <xdr:cNvSpPr/>
      </xdr:nvSpPr>
      <xdr:spPr>
        <a:xfrm>
          <a:off x="5972175" y="124901325"/>
          <a:ext cx="1143000" cy="266700"/>
        </a:xfrm>
        <a:prstGeom prst="roundRect">
          <a:avLst/>
        </a:prstGeom>
        <a:solidFill>
          <a:schemeClr val="bg2">
            <a:lumMod val="50000"/>
            <a:alpha val="31000"/>
          </a:schemeClr>
        </a:solidFill>
        <a:ln>
          <a:noFill/>
        </a:ln>
        <a:scene3d>
          <a:camera prst="orthographicFront"/>
          <a:lightRig rig="threePt" dir="t"/>
        </a:scene3d>
        <a:sp3d prstMaterial="dkEdge">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solidFill>
              <a:schemeClr val="tx1"/>
            </a:solidFill>
          </a:endParaRPr>
        </a:p>
      </xdr:txBody>
    </xdr:sp>
    <xdr:clientData/>
  </xdr:twoCellAnchor>
  <xdr:twoCellAnchor>
    <xdr:from>
      <xdr:col>6</xdr:col>
      <xdr:colOff>38100</xdr:colOff>
      <xdr:row>546</xdr:row>
      <xdr:rowOff>66675</xdr:rowOff>
    </xdr:from>
    <xdr:to>
      <xdr:col>7</xdr:col>
      <xdr:colOff>19050</xdr:colOff>
      <xdr:row>546</xdr:row>
      <xdr:rowOff>333375</xdr:rowOff>
    </xdr:to>
    <xdr:sp macro="" textlink="">
      <xdr:nvSpPr>
        <xdr:cNvPr id="352" name="Rectangle à coins arrondis 351"/>
        <xdr:cNvSpPr/>
      </xdr:nvSpPr>
      <xdr:spPr>
        <a:xfrm>
          <a:off x="5972175" y="125434725"/>
          <a:ext cx="1143000" cy="266700"/>
        </a:xfrm>
        <a:prstGeom prst="roundRect">
          <a:avLst/>
        </a:prstGeom>
        <a:solidFill>
          <a:schemeClr val="bg2">
            <a:lumMod val="50000"/>
            <a:alpha val="31000"/>
          </a:schemeClr>
        </a:solidFill>
        <a:ln>
          <a:noFill/>
        </a:ln>
        <a:scene3d>
          <a:camera prst="orthographicFront"/>
          <a:lightRig rig="threePt" dir="t"/>
        </a:scene3d>
        <a:sp3d prstMaterial="dkEdge">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solidFill>
              <a:schemeClr val="tx1"/>
            </a:solidFill>
          </a:endParaRPr>
        </a:p>
      </xdr:txBody>
    </xdr:sp>
    <xdr:clientData/>
  </xdr:twoCellAnchor>
  <xdr:twoCellAnchor>
    <xdr:from>
      <xdr:col>8</xdr:col>
      <xdr:colOff>38100</xdr:colOff>
      <xdr:row>546</xdr:row>
      <xdr:rowOff>66675</xdr:rowOff>
    </xdr:from>
    <xdr:to>
      <xdr:col>8</xdr:col>
      <xdr:colOff>1181100</xdr:colOff>
      <xdr:row>546</xdr:row>
      <xdr:rowOff>333375</xdr:rowOff>
    </xdr:to>
    <xdr:sp macro="" textlink="">
      <xdr:nvSpPr>
        <xdr:cNvPr id="353" name="Rectangle à coins arrondis 352"/>
        <xdr:cNvSpPr/>
      </xdr:nvSpPr>
      <xdr:spPr>
        <a:xfrm>
          <a:off x="7972425" y="125434725"/>
          <a:ext cx="1143000" cy="266700"/>
        </a:xfrm>
        <a:prstGeom prst="roundRect">
          <a:avLst/>
        </a:prstGeom>
        <a:solidFill>
          <a:schemeClr val="bg2">
            <a:lumMod val="50000"/>
            <a:alpha val="31000"/>
          </a:schemeClr>
        </a:solidFill>
        <a:ln>
          <a:noFill/>
        </a:ln>
        <a:scene3d>
          <a:camera prst="orthographicFront"/>
          <a:lightRig rig="threePt" dir="t"/>
        </a:scene3d>
        <a:sp3d prstMaterial="dkEdge">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solidFill>
              <a:schemeClr val="tx1"/>
            </a:solidFill>
          </a:endParaRPr>
        </a:p>
      </xdr:txBody>
    </xdr:sp>
    <xdr:clientData/>
  </xdr:twoCellAnchor>
  <xdr:twoCellAnchor>
    <xdr:from>
      <xdr:col>8</xdr:col>
      <xdr:colOff>38100</xdr:colOff>
      <xdr:row>544</xdr:row>
      <xdr:rowOff>0</xdr:rowOff>
    </xdr:from>
    <xdr:to>
      <xdr:col>8</xdr:col>
      <xdr:colOff>1181100</xdr:colOff>
      <xdr:row>545</xdr:row>
      <xdr:rowOff>38100</xdr:rowOff>
    </xdr:to>
    <xdr:sp macro="" textlink="">
      <xdr:nvSpPr>
        <xdr:cNvPr id="354" name="Rectangle à coins arrondis 353"/>
        <xdr:cNvSpPr/>
      </xdr:nvSpPr>
      <xdr:spPr>
        <a:xfrm>
          <a:off x="7972425" y="124901325"/>
          <a:ext cx="1143000" cy="266700"/>
        </a:xfrm>
        <a:prstGeom prst="roundRect">
          <a:avLst/>
        </a:prstGeom>
        <a:solidFill>
          <a:schemeClr val="bg2">
            <a:lumMod val="50000"/>
            <a:alpha val="31000"/>
          </a:schemeClr>
        </a:solidFill>
        <a:ln>
          <a:noFill/>
        </a:ln>
        <a:scene3d>
          <a:camera prst="orthographicFront"/>
          <a:lightRig rig="threePt" dir="t"/>
        </a:scene3d>
        <a:sp3d prstMaterial="dkEdge">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solidFill>
              <a:schemeClr val="tx1"/>
            </a:solidFill>
          </a:endParaRPr>
        </a:p>
      </xdr:txBody>
    </xdr:sp>
    <xdr:clientData/>
  </xdr:twoCellAnchor>
  <xdr:twoCellAnchor>
    <xdr:from>
      <xdr:col>8</xdr:col>
      <xdr:colOff>38100</xdr:colOff>
      <xdr:row>538</xdr:row>
      <xdr:rowOff>0</xdr:rowOff>
    </xdr:from>
    <xdr:to>
      <xdr:col>8</xdr:col>
      <xdr:colOff>1181100</xdr:colOff>
      <xdr:row>539</xdr:row>
      <xdr:rowOff>38100</xdr:rowOff>
    </xdr:to>
    <xdr:sp macro="" textlink="">
      <xdr:nvSpPr>
        <xdr:cNvPr id="355" name="Rectangle à coins arrondis 354"/>
        <xdr:cNvSpPr/>
      </xdr:nvSpPr>
      <xdr:spPr>
        <a:xfrm>
          <a:off x="7972425" y="123529725"/>
          <a:ext cx="1143000" cy="266700"/>
        </a:xfrm>
        <a:prstGeom prst="roundRect">
          <a:avLst/>
        </a:prstGeom>
        <a:solidFill>
          <a:schemeClr val="bg2">
            <a:lumMod val="50000"/>
            <a:alpha val="31000"/>
          </a:schemeClr>
        </a:solidFill>
        <a:ln>
          <a:noFill/>
        </a:ln>
        <a:scene3d>
          <a:camera prst="orthographicFront"/>
          <a:lightRig rig="threePt" dir="t"/>
        </a:scene3d>
        <a:sp3d prstMaterial="dkEdge">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solidFill>
              <a:schemeClr val="tx1"/>
            </a:solidFill>
          </a:endParaRPr>
        </a:p>
      </xdr:txBody>
    </xdr:sp>
    <xdr:clientData/>
  </xdr:twoCellAnchor>
  <xdr:twoCellAnchor>
    <xdr:from>
      <xdr:col>8</xdr:col>
      <xdr:colOff>38100</xdr:colOff>
      <xdr:row>542</xdr:row>
      <xdr:rowOff>0</xdr:rowOff>
    </xdr:from>
    <xdr:to>
      <xdr:col>8</xdr:col>
      <xdr:colOff>1181100</xdr:colOff>
      <xdr:row>543</xdr:row>
      <xdr:rowOff>38100</xdr:rowOff>
    </xdr:to>
    <xdr:sp macro="" textlink="">
      <xdr:nvSpPr>
        <xdr:cNvPr id="356" name="Rectangle à coins arrondis 355"/>
        <xdr:cNvSpPr/>
      </xdr:nvSpPr>
      <xdr:spPr>
        <a:xfrm>
          <a:off x="7972425" y="124444125"/>
          <a:ext cx="1143000" cy="266700"/>
        </a:xfrm>
        <a:prstGeom prst="roundRect">
          <a:avLst/>
        </a:prstGeom>
        <a:solidFill>
          <a:schemeClr val="bg2">
            <a:lumMod val="50000"/>
            <a:alpha val="31000"/>
          </a:schemeClr>
        </a:solidFill>
        <a:ln>
          <a:noFill/>
        </a:ln>
        <a:scene3d>
          <a:camera prst="orthographicFront"/>
          <a:lightRig rig="threePt" dir="t"/>
        </a:scene3d>
        <a:sp3d prstMaterial="dkEdge">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solidFill>
              <a:schemeClr val="tx1"/>
            </a:solidFill>
          </a:endParaRPr>
        </a:p>
      </xdr:txBody>
    </xdr:sp>
    <xdr:clientData/>
  </xdr:twoCellAnchor>
  <xdr:twoCellAnchor>
    <xdr:from>
      <xdr:col>10</xdr:col>
      <xdr:colOff>571499</xdr:colOff>
      <xdr:row>569</xdr:row>
      <xdr:rowOff>0</xdr:rowOff>
    </xdr:from>
    <xdr:to>
      <xdr:col>12</xdr:col>
      <xdr:colOff>25399</xdr:colOff>
      <xdr:row>570</xdr:row>
      <xdr:rowOff>44450</xdr:rowOff>
    </xdr:to>
    <xdr:sp macro="" textlink="">
      <xdr:nvSpPr>
        <xdr:cNvPr id="357" name="Rectangle à coins arrondis 356"/>
        <xdr:cNvSpPr/>
      </xdr:nvSpPr>
      <xdr:spPr>
        <a:xfrm>
          <a:off x="10696574" y="131492625"/>
          <a:ext cx="1063625" cy="273050"/>
        </a:xfrm>
        <a:prstGeom prst="roundRect">
          <a:avLst/>
        </a:prstGeom>
        <a:solidFill>
          <a:schemeClr val="bg2">
            <a:lumMod val="50000"/>
            <a:alpha val="31000"/>
          </a:schemeClr>
        </a:solidFill>
        <a:ln>
          <a:noFill/>
        </a:ln>
        <a:scene3d>
          <a:camera prst="orthographicFront"/>
          <a:lightRig rig="threePt" dir="t"/>
        </a:scene3d>
        <a:sp3d prstMaterial="dkEdge">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solidFill>
              <a:schemeClr val="tx1"/>
            </a:solidFill>
          </a:endParaRPr>
        </a:p>
      </xdr:txBody>
    </xdr:sp>
    <xdr:clientData/>
  </xdr:twoCellAnchor>
  <xdr:twoCellAnchor>
    <xdr:from>
      <xdr:col>10</xdr:col>
      <xdr:colOff>571499</xdr:colOff>
      <xdr:row>572</xdr:row>
      <xdr:rowOff>0</xdr:rowOff>
    </xdr:from>
    <xdr:to>
      <xdr:col>12</xdr:col>
      <xdr:colOff>25399</xdr:colOff>
      <xdr:row>573</xdr:row>
      <xdr:rowOff>44450</xdr:rowOff>
    </xdr:to>
    <xdr:sp macro="" textlink="">
      <xdr:nvSpPr>
        <xdr:cNvPr id="358" name="Rectangle à coins arrondis 357"/>
        <xdr:cNvSpPr/>
      </xdr:nvSpPr>
      <xdr:spPr>
        <a:xfrm>
          <a:off x="10696574" y="132178425"/>
          <a:ext cx="1063625" cy="273050"/>
        </a:xfrm>
        <a:prstGeom prst="roundRect">
          <a:avLst/>
        </a:prstGeom>
        <a:solidFill>
          <a:schemeClr val="bg2">
            <a:lumMod val="50000"/>
            <a:alpha val="31000"/>
          </a:schemeClr>
        </a:solidFill>
        <a:ln>
          <a:noFill/>
        </a:ln>
        <a:scene3d>
          <a:camera prst="orthographicFront"/>
          <a:lightRig rig="threePt" dir="t"/>
        </a:scene3d>
        <a:sp3d prstMaterial="dkEdge">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solidFill>
              <a:schemeClr val="tx1"/>
            </a:solidFill>
          </a:endParaRPr>
        </a:p>
      </xdr:txBody>
    </xdr:sp>
    <xdr:clientData/>
  </xdr:twoCellAnchor>
  <xdr:twoCellAnchor>
    <xdr:from>
      <xdr:col>10</xdr:col>
      <xdr:colOff>571499</xdr:colOff>
      <xdr:row>579</xdr:row>
      <xdr:rowOff>0</xdr:rowOff>
    </xdr:from>
    <xdr:to>
      <xdr:col>12</xdr:col>
      <xdr:colOff>25399</xdr:colOff>
      <xdr:row>580</xdr:row>
      <xdr:rowOff>44450</xdr:rowOff>
    </xdr:to>
    <xdr:sp macro="" textlink="">
      <xdr:nvSpPr>
        <xdr:cNvPr id="359" name="Rectangle à coins arrondis 358"/>
        <xdr:cNvSpPr/>
      </xdr:nvSpPr>
      <xdr:spPr>
        <a:xfrm>
          <a:off x="10696574" y="133778625"/>
          <a:ext cx="1063625" cy="273050"/>
        </a:xfrm>
        <a:prstGeom prst="roundRect">
          <a:avLst/>
        </a:prstGeom>
        <a:solidFill>
          <a:schemeClr val="bg2">
            <a:lumMod val="50000"/>
            <a:alpha val="31000"/>
          </a:schemeClr>
        </a:solidFill>
        <a:ln>
          <a:noFill/>
        </a:ln>
        <a:scene3d>
          <a:camera prst="orthographicFront"/>
          <a:lightRig rig="threePt" dir="t"/>
        </a:scene3d>
        <a:sp3d prstMaterial="dkEdge">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solidFill>
              <a:schemeClr val="tx1"/>
            </a:solidFill>
          </a:endParaRPr>
        </a:p>
      </xdr:txBody>
    </xdr:sp>
    <xdr:clientData/>
  </xdr:twoCellAnchor>
  <xdr:twoCellAnchor>
    <xdr:from>
      <xdr:col>10</xdr:col>
      <xdr:colOff>571499</xdr:colOff>
      <xdr:row>581</xdr:row>
      <xdr:rowOff>0</xdr:rowOff>
    </xdr:from>
    <xdr:to>
      <xdr:col>12</xdr:col>
      <xdr:colOff>25399</xdr:colOff>
      <xdr:row>582</xdr:row>
      <xdr:rowOff>44450</xdr:rowOff>
    </xdr:to>
    <xdr:sp macro="" textlink="">
      <xdr:nvSpPr>
        <xdr:cNvPr id="360" name="Rectangle à coins arrondis 359"/>
        <xdr:cNvSpPr/>
      </xdr:nvSpPr>
      <xdr:spPr>
        <a:xfrm>
          <a:off x="10696574" y="134235825"/>
          <a:ext cx="1063625" cy="273050"/>
        </a:xfrm>
        <a:prstGeom prst="roundRect">
          <a:avLst/>
        </a:prstGeom>
        <a:solidFill>
          <a:schemeClr val="bg2">
            <a:lumMod val="50000"/>
            <a:alpha val="31000"/>
          </a:schemeClr>
        </a:solidFill>
        <a:ln>
          <a:noFill/>
        </a:ln>
        <a:scene3d>
          <a:camera prst="orthographicFront"/>
          <a:lightRig rig="threePt" dir="t"/>
        </a:scene3d>
        <a:sp3d prstMaterial="dkEdge">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solidFill>
              <a:schemeClr val="tx1"/>
            </a:solidFill>
          </a:endParaRPr>
        </a:p>
      </xdr:txBody>
    </xdr:sp>
    <xdr:clientData/>
  </xdr:twoCellAnchor>
  <xdr:twoCellAnchor>
    <xdr:from>
      <xdr:col>10</xdr:col>
      <xdr:colOff>571499</xdr:colOff>
      <xdr:row>583</xdr:row>
      <xdr:rowOff>0</xdr:rowOff>
    </xdr:from>
    <xdr:to>
      <xdr:col>12</xdr:col>
      <xdr:colOff>25399</xdr:colOff>
      <xdr:row>584</xdr:row>
      <xdr:rowOff>44450</xdr:rowOff>
    </xdr:to>
    <xdr:sp macro="" textlink="">
      <xdr:nvSpPr>
        <xdr:cNvPr id="361" name="Rectangle à coins arrondis 360"/>
        <xdr:cNvSpPr/>
      </xdr:nvSpPr>
      <xdr:spPr>
        <a:xfrm>
          <a:off x="10696574" y="134693025"/>
          <a:ext cx="1063625" cy="273050"/>
        </a:xfrm>
        <a:prstGeom prst="roundRect">
          <a:avLst/>
        </a:prstGeom>
        <a:solidFill>
          <a:schemeClr val="bg2">
            <a:lumMod val="50000"/>
            <a:alpha val="31000"/>
          </a:schemeClr>
        </a:solidFill>
        <a:ln>
          <a:noFill/>
        </a:ln>
        <a:scene3d>
          <a:camera prst="orthographicFront"/>
          <a:lightRig rig="threePt" dir="t"/>
        </a:scene3d>
        <a:sp3d prstMaterial="dkEdge">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solidFill>
              <a:schemeClr val="tx1"/>
            </a:solidFill>
          </a:endParaRPr>
        </a:p>
      </xdr:txBody>
    </xdr:sp>
    <xdr:clientData/>
  </xdr:twoCellAnchor>
  <xdr:twoCellAnchor>
    <xdr:from>
      <xdr:col>6</xdr:col>
      <xdr:colOff>266700</xdr:colOff>
      <xdr:row>572</xdr:row>
      <xdr:rowOff>209550</xdr:rowOff>
    </xdr:from>
    <xdr:to>
      <xdr:col>7</xdr:col>
      <xdr:colOff>63500</xdr:colOff>
      <xdr:row>574</xdr:row>
      <xdr:rowOff>25400</xdr:rowOff>
    </xdr:to>
    <xdr:sp macro="" textlink="">
      <xdr:nvSpPr>
        <xdr:cNvPr id="362" name="Rectangle à coins arrondis 361"/>
        <xdr:cNvSpPr/>
      </xdr:nvSpPr>
      <xdr:spPr>
        <a:xfrm>
          <a:off x="6200775" y="132387975"/>
          <a:ext cx="958850" cy="273050"/>
        </a:xfrm>
        <a:prstGeom prst="roundRect">
          <a:avLst/>
        </a:prstGeom>
        <a:solidFill>
          <a:schemeClr val="bg2">
            <a:lumMod val="50000"/>
            <a:alpha val="31000"/>
          </a:schemeClr>
        </a:solidFill>
        <a:ln>
          <a:noFill/>
        </a:ln>
        <a:scene3d>
          <a:camera prst="orthographicFront"/>
          <a:lightRig rig="threePt" dir="t"/>
        </a:scene3d>
        <a:sp3d prstMaterial="dkEdge">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solidFill>
              <a:schemeClr val="tx1"/>
            </a:solidFill>
          </a:endParaRPr>
        </a:p>
      </xdr:txBody>
    </xdr:sp>
    <xdr:clientData/>
  </xdr:twoCellAnchor>
  <xdr:twoCellAnchor>
    <xdr:from>
      <xdr:col>13</xdr:col>
      <xdr:colOff>238120</xdr:colOff>
      <xdr:row>2</xdr:row>
      <xdr:rowOff>0</xdr:rowOff>
    </xdr:from>
    <xdr:to>
      <xdr:col>16</xdr:col>
      <xdr:colOff>574670</xdr:colOff>
      <xdr:row>30</xdr:row>
      <xdr:rowOff>184148</xdr:rowOff>
    </xdr:to>
    <xdr:grpSp>
      <xdr:nvGrpSpPr>
        <xdr:cNvPr id="527" name="Groupe 526"/>
        <xdr:cNvGrpSpPr/>
      </xdr:nvGrpSpPr>
      <xdr:grpSpPr>
        <a:xfrm>
          <a:off x="13346901" y="345281"/>
          <a:ext cx="2622550" cy="7399336"/>
          <a:chOff x="13173605" y="1266030"/>
          <a:chExt cx="2622550" cy="7399336"/>
        </a:xfrm>
      </xdr:grpSpPr>
      <xdr:grpSp>
        <xdr:nvGrpSpPr>
          <xdr:cNvPr id="528" name="Groupe 170"/>
          <xdr:cNvGrpSpPr/>
        </xdr:nvGrpSpPr>
        <xdr:grpSpPr>
          <a:xfrm>
            <a:off x="13173605" y="1266018"/>
            <a:ext cx="2622550" cy="7399334"/>
            <a:chOff x="10106025" y="37957125"/>
            <a:chExt cx="2628900" cy="7843112"/>
          </a:xfrm>
        </xdr:grpSpPr>
        <xdr:sp macro="" textlink="">
          <xdr:nvSpPr>
            <xdr:cNvPr id="530" name="ZoneTexte 529">
              <a:hlinkClick xmlns:r="http://schemas.openxmlformats.org/officeDocument/2006/relationships" r:id="rId2"/>
            </xdr:cNvPr>
            <xdr:cNvSpPr txBox="1"/>
          </xdr:nvSpPr>
          <xdr:spPr>
            <a:xfrm>
              <a:off x="10358437" y="39615312"/>
              <a:ext cx="2124076" cy="491978"/>
            </a:xfrm>
            <a:prstGeom prst="rect">
              <a:avLst/>
            </a:prstGeom>
            <a:solidFill>
              <a:schemeClr val="accent3">
                <a:lumMod val="50000"/>
              </a:schemeClr>
            </a:solidFill>
            <a:ln w="9525" cmpd="sng">
              <a:solidFill>
                <a:schemeClr val="lt1">
                  <a:shade val="50000"/>
                </a:schemeClr>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fr-FR" sz="1100" b="1">
                  <a:solidFill>
                    <a:schemeClr val="bg1"/>
                  </a:solidFill>
                </a:rPr>
                <a:t>Vos cotisations</a:t>
              </a:r>
              <a:r>
                <a:rPr lang="fr-FR" sz="1100" b="1" baseline="0">
                  <a:solidFill>
                    <a:schemeClr val="bg1"/>
                  </a:solidFill>
                </a:rPr>
                <a:t> obligatoires</a:t>
              </a:r>
              <a:endParaRPr lang="fr-FR" sz="1100" b="1">
                <a:solidFill>
                  <a:schemeClr val="bg1"/>
                </a:solidFill>
              </a:endParaRPr>
            </a:p>
          </xdr:txBody>
        </xdr:sp>
        <xdr:sp macro="" textlink="">
          <xdr:nvSpPr>
            <xdr:cNvPr id="531" name="ZoneTexte 530">
              <a:hlinkClick xmlns:r="http://schemas.openxmlformats.org/officeDocument/2006/relationships" r:id="rId3"/>
            </xdr:cNvPr>
            <xdr:cNvSpPr txBox="1"/>
          </xdr:nvSpPr>
          <xdr:spPr>
            <a:xfrm>
              <a:off x="10358437" y="40137296"/>
              <a:ext cx="2124076" cy="491978"/>
            </a:xfrm>
            <a:prstGeom prst="rect">
              <a:avLst/>
            </a:prstGeom>
            <a:solidFill>
              <a:schemeClr val="accent3">
                <a:lumMod val="50000"/>
              </a:schemeClr>
            </a:solidFill>
            <a:ln w="9525" cmpd="sng">
              <a:solidFill>
                <a:schemeClr val="lt1">
                  <a:shade val="50000"/>
                </a:schemeClr>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fr-FR" sz="1100" b="1">
                  <a:solidFill>
                    <a:schemeClr val="bg1"/>
                  </a:solidFill>
                </a:rPr>
                <a:t>Votre</a:t>
              </a:r>
              <a:r>
                <a:rPr lang="fr-FR" sz="1100" b="1" baseline="0">
                  <a:solidFill>
                    <a:schemeClr val="bg1"/>
                  </a:solidFill>
                </a:rPr>
                <a:t> impôt sur le revenu</a:t>
              </a:r>
              <a:endParaRPr lang="fr-FR" sz="1100" b="1">
                <a:solidFill>
                  <a:schemeClr val="bg1"/>
                </a:solidFill>
              </a:endParaRPr>
            </a:p>
          </xdr:txBody>
        </xdr:sp>
        <xdr:sp macro="" textlink="">
          <xdr:nvSpPr>
            <xdr:cNvPr id="532" name="ZoneTexte 531">
              <a:hlinkClick xmlns:r="http://schemas.openxmlformats.org/officeDocument/2006/relationships" r:id="rId4"/>
            </xdr:cNvPr>
            <xdr:cNvSpPr txBox="1"/>
          </xdr:nvSpPr>
          <xdr:spPr>
            <a:xfrm>
              <a:off x="10358437" y="40659280"/>
              <a:ext cx="2124076" cy="491978"/>
            </a:xfrm>
            <a:prstGeom prst="rect">
              <a:avLst/>
            </a:prstGeom>
            <a:solidFill>
              <a:schemeClr val="accent3">
                <a:lumMod val="50000"/>
              </a:schemeClr>
            </a:solidFill>
            <a:ln w="9525" cmpd="sng">
              <a:solidFill>
                <a:schemeClr val="lt1">
                  <a:shade val="50000"/>
                </a:schemeClr>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fr-FR" sz="1100" b="1">
                  <a:solidFill>
                    <a:schemeClr val="bg1"/>
                  </a:solidFill>
                </a:rPr>
                <a:t>Récapitulatif</a:t>
              </a:r>
              <a:r>
                <a:rPr lang="fr-FR" sz="1100" b="1" baseline="0">
                  <a:solidFill>
                    <a:schemeClr val="bg1"/>
                  </a:solidFill>
                </a:rPr>
                <a:t> de vos prélèvements obligatoires</a:t>
              </a:r>
              <a:endParaRPr lang="fr-FR" sz="1100" b="1">
                <a:solidFill>
                  <a:schemeClr val="bg1"/>
                </a:solidFill>
              </a:endParaRPr>
            </a:p>
          </xdr:txBody>
        </xdr:sp>
        <xdr:sp macro="" textlink="">
          <xdr:nvSpPr>
            <xdr:cNvPr id="533" name="ZoneTexte 532">
              <a:hlinkClick xmlns:r="http://schemas.openxmlformats.org/officeDocument/2006/relationships" r:id="rId5"/>
            </xdr:cNvPr>
            <xdr:cNvSpPr txBox="1"/>
          </xdr:nvSpPr>
          <xdr:spPr>
            <a:xfrm>
              <a:off x="10358437" y="41159670"/>
              <a:ext cx="2124076" cy="491978"/>
            </a:xfrm>
            <a:prstGeom prst="rect">
              <a:avLst/>
            </a:prstGeom>
            <a:solidFill>
              <a:schemeClr val="accent3">
                <a:lumMod val="50000"/>
              </a:schemeClr>
            </a:solidFill>
            <a:ln w="9525" cmpd="sng">
              <a:solidFill>
                <a:schemeClr val="lt1">
                  <a:shade val="50000"/>
                </a:schemeClr>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fr-FR" sz="1100" b="1">
                  <a:solidFill>
                    <a:schemeClr val="bg1"/>
                  </a:solidFill>
                </a:rPr>
                <a:t>Votre équilibre financier</a:t>
              </a:r>
            </a:p>
          </xdr:txBody>
        </xdr:sp>
        <xdr:sp macro="" textlink="">
          <xdr:nvSpPr>
            <xdr:cNvPr id="534" name="ZoneTexte 533"/>
            <xdr:cNvSpPr txBox="1"/>
          </xdr:nvSpPr>
          <xdr:spPr>
            <a:xfrm>
              <a:off x="10506075" y="38860074"/>
              <a:ext cx="1828800" cy="2857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fr-FR" sz="1200" b="1"/>
                <a:t>Exercice individuel</a:t>
              </a:r>
            </a:p>
          </xdr:txBody>
        </xdr:sp>
        <xdr:sp macro="" textlink="">
          <xdr:nvSpPr>
            <xdr:cNvPr id="535" name="ZoneTexte 534">
              <a:hlinkClick xmlns:r="http://schemas.openxmlformats.org/officeDocument/2006/relationships" r:id="rId6"/>
            </xdr:cNvPr>
            <xdr:cNvSpPr txBox="1"/>
          </xdr:nvSpPr>
          <xdr:spPr>
            <a:xfrm>
              <a:off x="10358437" y="41961661"/>
              <a:ext cx="2124076" cy="428625"/>
            </a:xfrm>
            <a:prstGeom prst="rect">
              <a:avLst/>
            </a:prstGeom>
            <a:solidFill>
              <a:schemeClr val="accent6"/>
            </a:solidFill>
            <a:ln w="9525" cmpd="sng">
              <a:solidFill>
                <a:schemeClr val="lt1">
                  <a:shade val="50000"/>
                </a:schemeClr>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fr-FR" sz="1100">
                  <a:solidFill>
                    <a:schemeClr val="bg1"/>
                  </a:solidFill>
                </a:rPr>
                <a:t>Conséquences</a:t>
              </a:r>
              <a:r>
                <a:rPr lang="fr-FR" sz="1100" baseline="0">
                  <a:solidFill>
                    <a:schemeClr val="bg1"/>
                  </a:solidFill>
                </a:rPr>
                <a:t> du passage en SEL</a:t>
              </a:r>
              <a:endParaRPr lang="fr-FR" sz="1100">
                <a:solidFill>
                  <a:schemeClr val="bg1"/>
                </a:solidFill>
              </a:endParaRPr>
            </a:p>
          </xdr:txBody>
        </xdr:sp>
        <xdr:sp macro="" textlink="">
          <xdr:nvSpPr>
            <xdr:cNvPr id="536" name="ZoneTexte 535">
              <a:hlinkClick xmlns:r="http://schemas.openxmlformats.org/officeDocument/2006/relationships" r:id="rId7"/>
            </xdr:cNvPr>
            <xdr:cNvSpPr txBox="1"/>
          </xdr:nvSpPr>
          <xdr:spPr>
            <a:xfrm>
              <a:off x="10358437" y="42409337"/>
              <a:ext cx="2124076" cy="428625"/>
            </a:xfrm>
            <a:prstGeom prst="rect">
              <a:avLst/>
            </a:prstGeom>
            <a:solidFill>
              <a:schemeClr val="accent6"/>
            </a:solidFill>
            <a:ln w="9525" cmpd="sng">
              <a:solidFill>
                <a:schemeClr val="lt1">
                  <a:shade val="50000"/>
                </a:schemeClr>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fr-FR" sz="1100">
                  <a:solidFill>
                    <a:schemeClr val="bg1"/>
                  </a:solidFill>
                </a:rPr>
                <a:t>Les cotisations</a:t>
              </a:r>
              <a:r>
                <a:rPr lang="fr-FR" sz="1100" baseline="0">
                  <a:solidFill>
                    <a:schemeClr val="bg1"/>
                  </a:solidFill>
                </a:rPr>
                <a:t> sociales obligatoires du gérant</a:t>
              </a:r>
              <a:endParaRPr lang="fr-FR" sz="1100">
                <a:solidFill>
                  <a:schemeClr val="bg1"/>
                </a:solidFill>
              </a:endParaRPr>
            </a:p>
          </xdr:txBody>
        </xdr:sp>
        <xdr:sp macro="" textlink="">
          <xdr:nvSpPr>
            <xdr:cNvPr id="537" name="ZoneTexte 536">
              <a:hlinkClick xmlns:r="http://schemas.openxmlformats.org/officeDocument/2006/relationships" r:id="rId8"/>
            </xdr:cNvPr>
            <xdr:cNvSpPr txBox="1"/>
          </xdr:nvSpPr>
          <xdr:spPr>
            <a:xfrm>
              <a:off x="10358437" y="42857012"/>
              <a:ext cx="2124076" cy="419101"/>
            </a:xfrm>
            <a:prstGeom prst="rect">
              <a:avLst/>
            </a:prstGeom>
            <a:solidFill>
              <a:schemeClr val="accent6"/>
            </a:solidFill>
            <a:ln w="9525" cmpd="sng">
              <a:solidFill>
                <a:schemeClr val="lt1">
                  <a:shade val="50000"/>
                </a:schemeClr>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fr-FR" sz="1100">
                  <a:solidFill>
                    <a:schemeClr val="bg1"/>
                  </a:solidFill>
                </a:rPr>
                <a:t>Le compte de résultat</a:t>
              </a:r>
              <a:r>
                <a:rPr lang="fr-FR" sz="1100" baseline="0">
                  <a:solidFill>
                    <a:schemeClr val="bg1"/>
                  </a:solidFill>
                </a:rPr>
                <a:t> </a:t>
              </a:r>
              <a:endParaRPr lang="fr-FR" sz="1100">
                <a:solidFill>
                  <a:schemeClr val="bg1"/>
                </a:solidFill>
              </a:endParaRPr>
            </a:p>
          </xdr:txBody>
        </xdr:sp>
        <xdr:sp macro="" textlink="">
          <xdr:nvSpPr>
            <xdr:cNvPr id="538" name="ZoneTexte 537">
              <a:hlinkClick xmlns:r="http://schemas.openxmlformats.org/officeDocument/2006/relationships" r:id="rId9"/>
            </xdr:cNvPr>
            <xdr:cNvSpPr txBox="1"/>
          </xdr:nvSpPr>
          <xdr:spPr>
            <a:xfrm>
              <a:off x="10358437" y="43295163"/>
              <a:ext cx="2124076" cy="438149"/>
            </a:xfrm>
            <a:prstGeom prst="rect">
              <a:avLst/>
            </a:prstGeom>
            <a:solidFill>
              <a:schemeClr val="accent6"/>
            </a:solidFill>
            <a:ln w="9525" cmpd="sng">
              <a:solidFill>
                <a:schemeClr val="lt1">
                  <a:shade val="50000"/>
                </a:schemeClr>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fr-FR" sz="1100">
                  <a:solidFill>
                    <a:schemeClr val="bg1"/>
                  </a:solidFill>
                </a:rPr>
                <a:t>Imposition</a:t>
              </a:r>
              <a:r>
                <a:rPr lang="fr-FR" sz="1100" baseline="0">
                  <a:solidFill>
                    <a:schemeClr val="bg1"/>
                  </a:solidFill>
                </a:rPr>
                <a:t> personnelle du gérant</a:t>
              </a:r>
              <a:endParaRPr lang="fr-FR" sz="1100">
                <a:solidFill>
                  <a:schemeClr val="bg1"/>
                </a:solidFill>
              </a:endParaRPr>
            </a:p>
          </xdr:txBody>
        </xdr:sp>
        <xdr:sp macro="" textlink="">
          <xdr:nvSpPr>
            <xdr:cNvPr id="539" name="ZoneTexte 538"/>
            <xdr:cNvSpPr txBox="1"/>
          </xdr:nvSpPr>
          <xdr:spPr>
            <a:xfrm>
              <a:off x="10506075" y="41647338"/>
              <a:ext cx="1828800" cy="2857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fr-FR" sz="1200" b="1"/>
                <a:t>Exercice</a:t>
              </a:r>
              <a:r>
                <a:rPr lang="fr-FR" sz="1200" b="1" baseline="0"/>
                <a:t> en SEL</a:t>
              </a:r>
              <a:endParaRPr lang="fr-FR" sz="1200" b="1"/>
            </a:p>
          </xdr:txBody>
        </xdr:sp>
        <xdr:sp macro="" textlink="">
          <xdr:nvSpPr>
            <xdr:cNvPr id="540" name="Rectangle à coins arrondis 539"/>
            <xdr:cNvSpPr/>
          </xdr:nvSpPr>
          <xdr:spPr>
            <a:xfrm>
              <a:off x="10106025" y="38080947"/>
              <a:ext cx="2628900" cy="7719290"/>
            </a:xfrm>
            <a:prstGeom prst="roundRect">
              <a:avLst/>
            </a:prstGeom>
            <a:noFill/>
            <a:ln>
              <a:solidFill>
                <a:schemeClr val="tx2"/>
              </a:solidFill>
            </a:ln>
            <a:effectLst>
              <a:glow rad="63500">
                <a:schemeClr val="bg1">
                  <a:lumMod val="75000"/>
                  <a:alpha val="40000"/>
                </a:schemeClr>
              </a:glo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fr-FR" sz="1000"/>
                <a:t>c</a:t>
              </a:r>
            </a:p>
          </xdr:txBody>
        </xdr:sp>
        <xdr:sp macro="" textlink="">
          <xdr:nvSpPr>
            <xdr:cNvPr id="541" name="ZoneTexte 540">
              <a:hlinkClick xmlns:r="http://schemas.openxmlformats.org/officeDocument/2006/relationships" r:id="rId10"/>
            </xdr:cNvPr>
            <xdr:cNvSpPr txBox="1"/>
          </xdr:nvSpPr>
          <xdr:spPr>
            <a:xfrm>
              <a:off x="10358437" y="43752363"/>
              <a:ext cx="2124076" cy="428625"/>
            </a:xfrm>
            <a:prstGeom prst="rect">
              <a:avLst/>
            </a:prstGeom>
            <a:solidFill>
              <a:schemeClr val="accent6"/>
            </a:solidFill>
            <a:ln w="9525" cmpd="sng">
              <a:solidFill>
                <a:schemeClr val="lt1">
                  <a:shade val="50000"/>
                </a:schemeClr>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fr-FR" sz="1100">
                  <a:solidFill>
                    <a:schemeClr val="bg1"/>
                  </a:solidFill>
                </a:rPr>
                <a:t>Récapitulatif</a:t>
              </a:r>
              <a:r>
                <a:rPr lang="fr-FR" sz="1100" baseline="0">
                  <a:solidFill>
                    <a:schemeClr val="bg1"/>
                  </a:solidFill>
                </a:rPr>
                <a:t> des prélèvements obligatoires</a:t>
              </a:r>
              <a:endParaRPr lang="fr-FR" sz="1100">
                <a:solidFill>
                  <a:schemeClr val="bg1"/>
                </a:solidFill>
              </a:endParaRPr>
            </a:p>
          </xdr:txBody>
        </xdr:sp>
        <xdr:sp macro="" textlink="">
          <xdr:nvSpPr>
            <xdr:cNvPr id="542" name="ZoneTexte 541">
              <a:hlinkClick xmlns:r="http://schemas.openxmlformats.org/officeDocument/2006/relationships" r:id="rId11"/>
            </xdr:cNvPr>
            <xdr:cNvSpPr txBox="1"/>
          </xdr:nvSpPr>
          <xdr:spPr>
            <a:xfrm>
              <a:off x="10358437" y="44200038"/>
              <a:ext cx="2124076" cy="428625"/>
            </a:xfrm>
            <a:prstGeom prst="rect">
              <a:avLst/>
            </a:prstGeom>
            <a:solidFill>
              <a:schemeClr val="accent6"/>
            </a:solidFill>
            <a:ln w="9525" cmpd="sng">
              <a:solidFill>
                <a:schemeClr val="lt1">
                  <a:shade val="50000"/>
                </a:schemeClr>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fr-FR" sz="1100">
                  <a:solidFill>
                    <a:schemeClr val="bg1"/>
                  </a:solidFill>
                </a:rPr>
                <a:t>Equili</a:t>
              </a:r>
              <a:r>
                <a:rPr lang="fr-FR" sz="1100" baseline="0">
                  <a:solidFill>
                    <a:schemeClr val="bg1"/>
                  </a:solidFill>
                </a:rPr>
                <a:t>bre financier</a:t>
              </a:r>
              <a:endParaRPr lang="fr-FR" sz="1100">
                <a:solidFill>
                  <a:schemeClr val="bg1"/>
                </a:solidFill>
              </a:endParaRPr>
            </a:p>
          </xdr:txBody>
        </xdr:sp>
        <xdr:sp macro="" textlink="">
          <xdr:nvSpPr>
            <xdr:cNvPr id="543" name="ZoneTexte 542">
              <a:hlinkClick xmlns:r="http://schemas.openxmlformats.org/officeDocument/2006/relationships" r:id="rId12"/>
            </xdr:cNvPr>
            <xdr:cNvSpPr txBox="1"/>
          </xdr:nvSpPr>
          <xdr:spPr>
            <a:xfrm>
              <a:off x="10358437" y="44647712"/>
              <a:ext cx="2124076" cy="428625"/>
            </a:xfrm>
            <a:prstGeom prst="rect">
              <a:avLst/>
            </a:prstGeom>
            <a:solidFill>
              <a:schemeClr val="accent6"/>
            </a:solidFill>
            <a:ln w="9525" cmpd="sng">
              <a:solidFill>
                <a:schemeClr val="lt1">
                  <a:shade val="50000"/>
                </a:schemeClr>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fr-FR" sz="1100">
                  <a:solidFill>
                    <a:schemeClr val="bg1"/>
                  </a:solidFill>
                </a:rPr>
                <a:t>Revenu</a:t>
              </a:r>
              <a:r>
                <a:rPr lang="fr-FR" sz="1100" baseline="0">
                  <a:solidFill>
                    <a:schemeClr val="bg1"/>
                  </a:solidFill>
                </a:rPr>
                <a:t> disponible personnel</a:t>
              </a:r>
              <a:endParaRPr lang="fr-FR" sz="1100">
                <a:solidFill>
                  <a:schemeClr val="bg1"/>
                </a:solidFill>
              </a:endParaRPr>
            </a:p>
          </xdr:txBody>
        </xdr:sp>
        <xdr:sp macro="" textlink="">
          <xdr:nvSpPr>
            <xdr:cNvPr id="544" name="ZoneTexte 543">
              <a:hlinkClick xmlns:r="http://schemas.openxmlformats.org/officeDocument/2006/relationships" r:id="rId13"/>
            </xdr:cNvPr>
            <xdr:cNvSpPr txBox="1"/>
          </xdr:nvSpPr>
          <xdr:spPr>
            <a:xfrm>
              <a:off x="10358437" y="45266841"/>
              <a:ext cx="2124076" cy="428625"/>
            </a:xfrm>
            <a:prstGeom prst="rect">
              <a:avLst/>
            </a:prstGeom>
            <a:solidFill>
              <a:schemeClr val="tx2"/>
            </a:solidFill>
            <a:ln w="9525" cmpd="sng">
              <a:solidFill>
                <a:schemeClr val="lt1">
                  <a:shade val="50000"/>
                </a:schemeClr>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fr-FR" sz="1200" b="1">
                  <a:solidFill>
                    <a:schemeClr val="tx1"/>
                  </a:solidFill>
                </a:rPr>
                <a:t>Conclusion</a:t>
              </a:r>
            </a:p>
          </xdr:txBody>
        </xdr:sp>
        <xdr:sp macro="" textlink="">
          <xdr:nvSpPr>
            <xdr:cNvPr id="545" name="ZoneTexte 544">
              <a:hlinkClick xmlns:r="http://schemas.openxmlformats.org/officeDocument/2006/relationships" r:id="rId14"/>
            </xdr:cNvPr>
            <xdr:cNvSpPr txBox="1"/>
          </xdr:nvSpPr>
          <xdr:spPr>
            <a:xfrm>
              <a:off x="10363200" y="38347650"/>
              <a:ext cx="2124076" cy="428625"/>
            </a:xfrm>
            <a:prstGeom prst="rect">
              <a:avLst/>
            </a:prstGeom>
            <a:solidFill>
              <a:schemeClr val="tx2"/>
            </a:solidFill>
            <a:ln w="9525" cmpd="sng">
              <a:solidFill>
                <a:schemeClr val="lt1">
                  <a:shade val="50000"/>
                </a:schemeClr>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fr-FR" sz="1200" b="1">
                  <a:solidFill>
                    <a:schemeClr val="tx1"/>
                  </a:solidFill>
                </a:rPr>
                <a:t>Informations Client</a:t>
              </a:r>
            </a:p>
          </xdr:txBody>
        </xdr:sp>
        <xdr:sp macro="" textlink="">
          <xdr:nvSpPr>
            <xdr:cNvPr id="546" name="ZoneTexte 545"/>
            <xdr:cNvSpPr txBox="1"/>
          </xdr:nvSpPr>
          <xdr:spPr>
            <a:xfrm>
              <a:off x="10525125" y="37957125"/>
              <a:ext cx="1828800" cy="2857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fr-FR" sz="1600" b="1" u="sng">
                  <a:solidFill>
                    <a:schemeClr val="tx2"/>
                  </a:solidFill>
                </a:rPr>
                <a:t>Accès direct</a:t>
              </a:r>
            </a:p>
          </xdr:txBody>
        </xdr:sp>
      </xdr:grpSp>
      <xdr:sp macro="" textlink="">
        <xdr:nvSpPr>
          <xdr:cNvPr id="529" name="ZoneTexte 528">
            <a:hlinkClick xmlns:r="http://schemas.openxmlformats.org/officeDocument/2006/relationships" r:id="rId15"/>
          </xdr:cNvPr>
          <xdr:cNvSpPr txBox="1"/>
        </xdr:nvSpPr>
        <xdr:spPr>
          <a:xfrm>
            <a:off x="13425488" y="2345531"/>
            <a:ext cx="2118945" cy="462068"/>
          </a:xfrm>
          <a:prstGeom prst="rect">
            <a:avLst/>
          </a:prstGeom>
          <a:solidFill>
            <a:schemeClr val="accent3">
              <a:lumMod val="50000"/>
            </a:schemeClr>
          </a:solidFill>
          <a:ln w="9525" cmpd="sng">
            <a:solidFill>
              <a:schemeClr val="lt1">
                <a:shade val="50000"/>
              </a:schemeClr>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fr-FR" sz="1100" b="1">
                <a:solidFill>
                  <a:schemeClr val="bg1"/>
                </a:solidFill>
              </a:rPr>
              <a:t>Déclaration</a:t>
            </a:r>
            <a:r>
              <a:rPr lang="fr-FR" sz="1100" b="1" baseline="0">
                <a:solidFill>
                  <a:schemeClr val="bg1"/>
                </a:solidFill>
              </a:rPr>
              <a:t> 2035</a:t>
            </a:r>
            <a:endParaRPr lang="fr-FR" sz="1100" b="1">
              <a:solidFill>
                <a:schemeClr val="bg1"/>
              </a:solidFill>
            </a:endParaRPr>
          </a:p>
        </xdr:txBody>
      </xdr:sp>
    </xdr:grpSp>
    <xdr:clientData/>
  </xdr:twoCellAnchor>
  <xdr:twoCellAnchor>
    <xdr:from>
      <xdr:col>13</xdr:col>
      <xdr:colOff>238120</xdr:colOff>
      <xdr:row>33</xdr:row>
      <xdr:rowOff>0</xdr:rowOff>
    </xdr:from>
    <xdr:to>
      <xdr:col>16</xdr:col>
      <xdr:colOff>574670</xdr:colOff>
      <xdr:row>66</xdr:row>
      <xdr:rowOff>172242</xdr:rowOff>
    </xdr:to>
    <xdr:grpSp>
      <xdr:nvGrpSpPr>
        <xdr:cNvPr id="547" name="Groupe 546"/>
        <xdr:cNvGrpSpPr/>
      </xdr:nvGrpSpPr>
      <xdr:grpSpPr>
        <a:xfrm>
          <a:off x="13346901" y="8239125"/>
          <a:ext cx="2622550" cy="7399336"/>
          <a:chOff x="13173605" y="1266030"/>
          <a:chExt cx="2622550" cy="7399336"/>
        </a:xfrm>
      </xdr:grpSpPr>
      <xdr:grpSp>
        <xdr:nvGrpSpPr>
          <xdr:cNvPr id="548" name="Groupe 170"/>
          <xdr:cNvGrpSpPr/>
        </xdr:nvGrpSpPr>
        <xdr:grpSpPr>
          <a:xfrm>
            <a:off x="13173605" y="1266018"/>
            <a:ext cx="2622550" cy="7399334"/>
            <a:chOff x="10106025" y="37957125"/>
            <a:chExt cx="2628900" cy="7843112"/>
          </a:xfrm>
        </xdr:grpSpPr>
        <xdr:sp macro="" textlink="">
          <xdr:nvSpPr>
            <xdr:cNvPr id="550" name="ZoneTexte 549">
              <a:hlinkClick xmlns:r="http://schemas.openxmlformats.org/officeDocument/2006/relationships" r:id="rId2"/>
            </xdr:cNvPr>
            <xdr:cNvSpPr txBox="1"/>
          </xdr:nvSpPr>
          <xdr:spPr>
            <a:xfrm>
              <a:off x="10358437" y="39615312"/>
              <a:ext cx="2124076" cy="491978"/>
            </a:xfrm>
            <a:prstGeom prst="rect">
              <a:avLst/>
            </a:prstGeom>
            <a:solidFill>
              <a:schemeClr val="accent3">
                <a:lumMod val="50000"/>
              </a:schemeClr>
            </a:solidFill>
            <a:ln w="9525" cmpd="sng">
              <a:solidFill>
                <a:schemeClr val="lt1">
                  <a:shade val="50000"/>
                </a:schemeClr>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fr-FR" sz="1100" b="1">
                  <a:solidFill>
                    <a:schemeClr val="bg1"/>
                  </a:solidFill>
                </a:rPr>
                <a:t>Vos cotisations</a:t>
              </a:r>
              <a:r>
                <a:rPr lang="fr-FR" sz="1100" b="1" baseline="0">
                  <a:solidFill>
                    <a:schemeClr val="bg1"/>
                  </a:solidFill>
                </a:rPr>
                <a:t> obligatoires</a:t>
              </a:r>
              <a:endParaRPr lang="fr-FR" sz="1100" b="1">
                <a:solidFill>
                  <a:schemeClr val="bg1"/>
                </a:solidFill>
              </a:endParaRPr>
            </a:p>
          </xdr:txBody>
        </xdr:sp>
        <xdr:sp macro="" textlink="">
          <xdr:nvSpPr>
            <xdr:cNvPr id="551" name="ZoneTexte 550">
              <a:hlinkClick xmlns:r="http://schemas.openxmlformats.org/officeDocument/2006/relationships" r:id="rId3"/>
            </xdr:cNvPr>
            <xdr:cNvSpPr txBox="1"/>
          </xdr:nvSpPr>
          <xdr:spPr>
            <a:xfrm>
              <a:off x="10358437" y="40137296"/>
              <a:ext cx="2124076" cy="491978"/>
            </a:xfrm>
            <a:prstGeom prst="rect">
              <a:avLst/>
            </a:prstGeom>
            <a:solidFill>
              <a:schemeClr val="accent3">
                <a:lumMod val="50000"/>
              </a:schemeClr>
            </a:solidFill>
            <a:ln w="9525" cmpd="sng">
              <a:solidFill>
                <a:schemeClr val="lt1">
                  <a:shade val="50000"/>
                </a:schemeClr>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fr-FR" sz="1100" b="1">
                  <a:solidFill>
                    <a:schemeClr val="bg1"/>
                  </a:solidFill>
                </a:rPr>
                <a:t>Votre</a:t>
              </a:r>
              <a:r>
                <a:rPr lang="fr-FR" sz="1100" b="1" baseline="0">
                  <a:solidFill>
                    <a:schemeClr val="bg1"/>
                  </a:solidFill>
                </a:rPr>
                <a:t> impôt sur le revenu</a:t>
              </a:r>
              <a:endParaRPr lang="fr-FR" sz="1100" b="1">
                <a:solidFill>
                  <a:schemeClr val="bg1"/>
                </a:solidFill>
              </a:endParaRPr>
            </a:p>
          </xdr:txBody>
        </xdr:sp>
        <xdr:sp macro="" textlink="">
          <xdr:nvSpPr>
            <xdr:cNvPr id="552" name="ZoneTexte 551">
              <a:hlinkClick xmlns:r="http://schemas.openxmlformats.org/officeDocument/2006/relationships" r:id="rId4"/>
            </xdr:cNvPr>
            <xdr:cNvSpPr txBox="1"/>
          </xdr:nvSpPr>
          <xdr:spPr>
            <a:xfrm>
              <a:off x="10358437" y="40659280"/>
              <a:ext cx="2124076" cy="491978"/>
            </a:xfrm>
            <a:prstGeom prst="rect">
              <a:avLst/>
            </a:prstGeom>
            <a:solidFill>
              <a:schemeClr val="accent3">
                <a:lumMod val="50000"/>
              </a:schemeClr>
            </a:solidFill>
            <a:ln w="9525" cmpd="sng">
              <a:solidFill>
                <a:schemeClr val="lt1">
                  <a:shade val="50000"/>
                </a:schemeClr>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fr-FR" sz="1100" b="1">
                  <a:solidFill>
                    <a:schemeClr val="bg1"/>
                  </a:solidFill>
                </a:rPr>
                <a:t>Récapitulatif</a:t>
              </a:r>
              <a:r>
                <a:rPr lang="fr-FR" sz="1100" b="1" baseline="0">
                  <a:solidFill>
                    <a:schemeClr val="bg1"/>
                  </a:solidFill>
                </a:rPr>
                <a:t> de vos prélèvements obligatoires</a:t>
              </a:r>
              <a:endParaRPr lang="fr-FR" sz="1100" b="1">
                <a:solidFill>
                  <a:schemeClr val="bg1"/>
                </a:solidFill>
              </a:endParaRPr>
            </a:p>
          </xdr:txBody>
        </xdr:sp>
        <xdr:sp macro="" textlink="">
          <xdr:nvSpPr>
            <xdr:cNvPr id="553" name="ZoneTexte 552">
              <a:hlinkClick xmlns:r="http://schemas.openxmlformats.org/officeDocument/2006/relationships" r:id="rId5"/>
            </xdr:cNvPr>
            <xdr:cNvSpPr txBox="1"/>
          </xdr:nvSpPr>
          <xdr:spPr>
            <a:xfrm>
              <a:off x="10358437" y="41159670"/>
              <a:ext cx="2124076" cy="491978"/>
            </a:xfrm>
            <a:prstGeom prst="rect">
              <a:avLst/>
            </a:prstGeom>
            <a:solidFill>
              <a:schemeClr val="accent3">
                <a:lumMod val="50000"/>
              </a:schemeClr>
            </a:solidFill>
            <a:ln w="9525" cmpd="sng">
              <a:solidFill>
                <a:schemeClr val="lt1">
                  <a:shade val="50000"/>
                </a:schemeClr>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fr-FR" sz="1100" b="1">
                  <a:solidFill>
                    <a:schemeClr val="bg1"/>
                  </a:solidFill>
                </a:rPr>
                <a:t>Votre équilibre financier</a:t>
              </a:r>
            </a:p>
          </xdr:txBody>
        </xdr:sp>
        <xdr:sp macro="" textlink="">
          <xdr:nvSpPr>
            <xdr:cNvPr id="554" name="ZoneTexte 553"/>
            <xdr:cNvSpPr txBox="1"/>
          </xdr:nvSpPr>
          <xdr:spPr>
            <a:xfrm>
              <a:off x="10506075" y="38860074"/>
              <a:ext cx="1828800" cy="2857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fr-FR" sz="1200" b="1"/>
                <a:t>Exercice individuel</a:t>
              </a:r>
            </a:p>
          </xdr:txBody>
        </xdr:sp>
        <xdr:sp macro="" textlink="">
          <xdr:nvSpPr>
            <xdr:cNvPr id="555" name="ZoneTexte 554">
              <a:hlinkClick xmlns:r="http://schemas.openxmlformats.org/officeDocument/2006/relationships" r:id="rId6"/>
            </xdr:cNvPr>
            <xdr:cNvSpPr txBox="1"/>
          </xdr:nvSpPr>
          <xdr:spPr>
            <a:xfrm>
              <a:off x="10358437" y="41961661"/>
              <a:ext cx="2124076" cy="428625"/>
            </a:xfrm>
            <a:prstGeom prst="rect">
              <a:avLst/>
            </a:prstGeom>
            <a:solidFill>
              <a:schemeClr val="accent6"/>
            </a:solidFill>
            <a:ln w="9525" cmpd="sng">
              <a:solidFill>
                <a:schemeClr val="lt1">
                  <a:shade val="50000"/>
                </a:schemeClr>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fr-FR" sz="1100">
                  <a:solidFill>
                    <a:schemeClr val="bg1"/>
                  </a:solidFill>
                </a:rPr>
                <a:t>Conséquences</a:t>
              </a:r>
              <a:r>
                <a:rPr lang="fr-FR" sz="1100" baseline="0">
                  <a:solidFill>
                    <a:schemeClr val="bg1"/>
                  </a:solidFill>
                </a:rPr>
                <a:t> du passage en SEL</a:t>
              </a:r>
              <a:endParaRPr lang="fr-FR" sz="1100">
                <a:solidFill>
                  <a:schemeClr val="bg1"/>
                </a:solidFill>
              </a:endParaRPr>
            </a:p>
          </xdr:txBody>
        </xdr:sp>
        <xdr:sp macro="" textlink="">
          <xdr:nvSpPr>
            <xdr:cNvPr id="556" name="ZoneTexte 555">
              <a:hlinkClick xmlns:r="http://schemas.openxmlformats.org/officeDocument/2006/relationships" r:id="rId7"/>
            </xdr:cNvPr>
            <xdr:cNvSpPr txBox="1"/>
          </xdr:nvSpPr>
          <xdr:spPr>
            <a:xfrm>
              <a:off x="10358437" y="42409337"/>
              <a:ext cx="2124076" cy="428625"/>
            </a:xfrm>
            <a:prstGeom prst="rect">
              <a:avLst/>
            </a:prstGeom>
            <a:solidFill>
              <a:schemeClr val="accent6"/>
            </a:solidFill>
            <a:ln w="9525" cmpd="sng">
              <a:solidFill>
                <a:schemeClr val="lt1">
                  <a:shade val="50000"/>
                </a:schemeClr>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fr-FR" sz="1100">
                  <a:solidFill>
                    <a:schemeClr val="bg1"/>
                  </a:solidFill>
                </a:rPr>
                <a:t>Les cotisations</a:t>
              </a:r>
              <a:r>
                <a:rPr lang="fr-FR" sz="1100" baseline="0">
                  <a:solidFill>
                    <a:schemeClr val="bg1"/>
                  </a:solidFill>
                </a:rPr>
                <a:t> sociales obligatoires du gérant</a:t>
              </a:r>
              <a:endParaRPr lang="fr-FR" sz="1100">
                <a:solidFill>
                  <a:schemeClr val="bg1"/>
                </a:solidFill>
              </a:endParaRPr>
            </a:p>
          </xdr:txBody>
        </xdr:sp>
        <xdr:sp macro="" textlink="">
          <xdr:nvSpPr>
            <xdr:cNvPr id="557" name="ZoneTexte 556">
              <a:hlinkClick xmlns:r="http://schemas.openxmlformats.org/officeDocument/2006/relationships" r:id="rId8"/>
            </xdr:cNvPr>
            <xdr:cNvSpPr txBox="1"/>
          </xdr:nvSpPr>
          <xdr:spPr>
            <a:xfrm>
              <a:off x="10358437" y="42857012"/>
              <a:ext cx="2124076" cy="419101"/>
            </a:xfrm>
            <a:prstGeom prst="rect">
              <a:avLst/>
            </a:prstGeom>
            <a:solidFill>
              <a:schemeClr val="accent6"/>
            </a:solidFill>
            <a:ln w="9525" cmpd="sng">
              <a:solidFill>
                <a:schemeClr val="lt1">
                  <a:shade val="50000"/>
                </a:schemeClr>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fr-FR" sz="1100">
                  <a:solidFill>
                    <a:schemeClr val="bg1"/>
                  </a:solidFill>
                </a:rPr>
                <a:t>Le compte de résultat</a:t>
              </a:r>
              <a:r>
                <a:rPr lang="fr-FR" sz="1100" baseline="0">
                  <a:solidFill>
                    <a:schemeClr val="bg1"/>
                  </a:solidFill>
                </a:rPr>
                <a:t> </a:t>
              </a:r>
              <a:endParaRPr lang="fr-FR" sz="1100">
                <a:solidFill>
                  <a:schemeClr val="bg1"/>
                </a:solidFill>
              </a:endParaRPr>
            </a:p>
          </xdr:txBody>
        </xdr:sp>
        <xdr:sp macro="" textlink="">
          <xdr:nvSpPr>
            <xdr:cNvPr id="558" name="ZoneTexte 557">
              <a:hlinkClick xmlns:r="http://schemas.openxmlformats.org/officeDocument/2006/relationships" r:id="rId9"/>
            </xdr:cNvPr>
            <xdr:cNvSpPr txBox="1"/>
          </xdr:nvSpPr>
          <xdr:spPr>
            <a:xfrm>
              <a:off x="10358437" y="43295163"/>
              <a:ext cx="2124076" cy="438149"/>
            </a:xfrm>
            <a:prstGeom prst="rect">
              <a:avLst/>
            </a:prstGeom>
            <a:solidFill>
              <a:schemeClr val="accent6"/>
            </a:solidFill>
            <a:ln w="9525" cmpd="sng">
              <a:solidFill>
                <a:schemeClr val="lt1">
                  <a:shade val="50000"/>
                </a:schemeClr>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fr-FR" sz="1100">
                  <a:solidFill>
                    <a:schemeClr val="bg1"/>
                  </a:solidFill>
                </a:rPr>
                <a:t>Imposition</a:t>
              </a:r>
              <a:r>
                <a:rPr lang="fr-FR" sz="1100" baseline="0">
                  <a:solidFill>
                    <a:schemeClr val="bg1"/>
                  </a:solidFill>
                </a:rPr>
                <a:t> personnelle du gérant</a:t>
              </a:r>
              <a:endParaRPr lang="fr-FR" sz="1100">
                <a:solidFill>
                  <a:schemeClr val="bg1"/>
                </a:solidFill>
              </a:endParaRPr>
            </a:p>
          </xdr:txBody>
        </xdr:sp>
        <xdr:sp macro="" textlink="">
          <xdr:nvSpPr>
            <xdr:cNvPr id="559" name="ZoneTexte 558"/>
            <xdr:cNvSpPr txBox="1"/>
          </xdr:nvSpPr>
          <xdr:spPr>
            <a:xfrm>
              <a:off x="10506075" y="41647338"/>
              <a:ext cx="1828800" cy="2857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fr-FR" sz="1200" b="1"/>
                <a:t>Exercice</a:t>
              </a:r>
              <a:r>
                <a:rPr lang="fr-FR" sz="1200" b="1" baseline="0"/>
                <a:t> en SEL</a:t>
              </a:r>
              <a:endParaRPr lang="fr-FR" sz="1200" b="1"/>
            </a:p>
          </xdr:txBody>
        </xdr:sp>
        <xdr:sp macro="" textlink="">
          <xdr:nvSpPr>
            <xdr:cNvPr id="560" name="Rectangle à coins arrondis 559"/>
            <xdr:cNvSpPr/>
          </xdr:nvSpPr>
          <xdr:spPr>
            <a:xfrm>
              <a:off x="10106025" y="38080947"/>
              <a:ext cx="2628900" cy="7719290"/>
            </a:xfrm>
            <a:prstGeom prst="roundRect">
              <a:avLst/>
            </a:prstGeom>
            <a:noFill/>
            <a:ln>
              <a:solidFill>
                <a:schemeClr val="tx2"/>
              </a:solidFill>
            </a:ln>
            <a:effectLst>
              <a:glow rad="63500">
                <a:schemeClr val="bg1">
                  <a:lumMod val="75000"/>
                  <a:alpha val="40000"/>
                </a:schemeClr>
              </a:glo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fr-FR" sz="1000"/>
                <a:t>c</a:t>
              </a:r>
            </a:p>
          </xdr:txBody>
        </xdr:sp>
        <xdr:sp macro="" textlink="">
          <xdr:nvSpPr>
            <xdr:cNvPr id="561" name="ZoneTexte 560">
              <a:hlinkClick xmlns:r="http://schemas.openxmlformats.org/officeDocument/2006/relationships" r:id="rId10"/>
            </xdr:cNvPr>
            <xdr:cNvSpPr txBox="1"/>
          </xdr:nvSpPr>
          <xdr:spPr>
            <a:xfrm>
              <a:off x="10358437" y="43752363"/>
              <a:ext cx="2124076" cy="428625"/>
            </a:xfrm>
            <a:prstGeom prst="rect">
              <a:avLst/>
            </a:prstGeom>
            <a:solidFill>
              <a:schemeClr val="accent6"/>
            </a:solidFill>
            <a:ln w="9525" cmpd="sng">
              <a:solidFill>
                <a:schemeClr val="lt1">
                  <a:shade val="50000"/>
                </a:schemeClr>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fr-FR" sz="1100">
                  <a:solidFill>
                    <a:schemeClr val="bg1"/>
                  </a:solidFill>
                </a:rPr>
                <a:t>Récapitulatif</a:t>
              </a:r>
              <a:r>
                <a:rPr lang="fr-FR" sz="1100" baseline="0">
                  <a:solidFill>
                    <a:schemeClr val="bg1"/>
                  </a:solidFill>
                </a:rPr>
                <a:t> des prélèvements obligatoires</a:t>
              </a:r>
              <a:endParaRPr lang="fr-FR" sz="1100">
                <a:solidFill>
                  <a:schemeClr val="bg1"/>
                </a:solidFill>
              </a:endParaRPr>
            </a:p>
          </xdr:txBody>
        </xdr:sp>
        <xdr:sp macro="" textlink="">
          <xdr:nvSpPr>
            <xdr:cNvPr id="562" name="ZoneTexte 561">
              <a:hlinkClick xmlns:r="http://schemas.openxmlformats.org/officeDocument/2006/relationships" r:id="rId11"/>
            </xdr:cNvPr>
            <xdr:cNvSpPr txBox="1"/>
          </xdr:nvSpPr>
          <xdr:spPr>
            <a:xfrm>
              <a:off x="10358437" y="44200038"/>
              <a:ext cx="2124076" cy="428625"/>
            </a:xfrm>
            <a:prstGeom prst="rect">
              <a:avLst/>
            </a:prstGeom>
            <a:solidFill>
              <a:schemeClr val="accent6"/>
            </a:solidFill>
            <a:ln w="9525" cmpd="sng">
              <a:solidFill>
                <a:schemeClr val="lt1">
                  <a:shade val="50000"/>
                </a:schemeClr>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fr-FR" sz="1100">
                  <a:solidFill>
                    <a:schemeClr val="bg1"/>
                  </a:solidFill>
                </a:rPr>
                <a:t>Equili</a:t>
              </a:r>
              <a:r>
                <a:rPr lang="fr-FR" sz="1100" baseline="0">
                  <a:solidFill>
                    <a:schemeClr val="bg1"/>
                  </a:solidFill>
                </a:rPr>
                <a:t>bre financier</a:t>
              </a:r>
              <a:endParaRPr lang="fr-FR" sz="1100">
                <a:solidFill>
                  <a:schemeClr val="bg1"/>
                </a:solidFill>
              </a:endParaRPr>
            </a:p>
          </xdr:txBody>
        </xdr:sp>
        <xdr:sp macro="" textlink="">
          <xdr:nvSpPr>
            <xdr:cNvPr id="563" name="ZoneTexte 562">
              <a:hlinkClick xmlns:r="http://schemas.openxmlformats.org/officeDocument/2006/relationships" r:id="rId12"/>
            </xdr:cNvPr>
            <xdr:cNvSpPr txBox="1"/>
          </xdr:nvSpPr>
          <xdr:spPr>
            <a:xfrm>
              <a:off x="10358437" y="44647712"/>
              <a:ext cx="2124076" cy="428625"/>
            </a:xfrm>
            <a:prstGeom prst="rect">
              <a:avLst/>
            </a:prstGeom>
            <a:solidFill>
              <a:schemeClr val="accent6"/>
            </a:solidFill>
            <a:ln w="9525" cmpd="sng">
              <a:solidFill>
                <a:schemeClr val="lt1">
                  <a:shade val="50000"/>
                </a:schemeClr>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fr-FR" sz="1100">
                  <a:solidFill>
                    <a:schemeClr val="bg1"/>
                  </a:solidFill>
                </a:rPr>
                <a:t>Revenu</a:t>
              </a:r>
              <a:r>
                <a:rPr lang="fr-FR" sz="1100" baseline="0">
                  <a:solidFill>
                    <a:schemeClr val="bg1"/>
                  </a:solidFill>
                </a:rPr>
                <a:t> disponible personnel</a:t>
              </a:r>
              <a:endParaRPr lang="fr-FR" sz="1100">
                <a:solidFill>
                  <a:schemeClr val="bg1"/>
                </a:solidFill>
              </a:endParaRPr>
            </a:p>
          </xdr:txBody>
        </xdr:sp>
        <xdr:sp macro="" textlink="">
          <xdr:nvSpPr>
            <xdr:cNvPr id="564" name="ZoneTexte 563">
              <a:hlinkClick xmlns:r="http://schemas.openxmlformats.org/officeDocument/2006/relationships" r:id="rId13"/>
            </xdr:cNvPr>
            <xdr:cNvSpPr txBox="1"/>
          </xdr:nvSpPr>
          <xdr:spPr>
            <a:xfrm>
              <a:off x="10358437" y="45266841"/>
              <a:ext cx="2124076" cy="428625"/>
            </a:xfrm>
            <a:prstGeom prst="rect">
              <a:avLst/>
            </a:prstGeom>
            <a:solidFill>
              <a:schemeClr val="tx2"/>
            </a:solidFill>
            <a:ln w="9525" cmpd="sng">
              <a:solidFill>
                <a:schemeClr val="lt1">
                  <a:shade val="50000"/>
                </a:schemeClr>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fr-FR" sz="1200" b="1">
                  <a:solidFill>
                    <a:schemeClr val="tx1"/>
                  </a:solidFill>
                </a:rPr>
                <a:t>Conclusion</a:t>
              </a:r>
            </a:p>
          </xdr:txBody>
        </xdr:sp>
        <xdr:sp macro="" textlink="">
          <xdr:nvSpPr>
            <xdr:cNvPr id="565" name="ZoneTexte 564">
              <a:hlinkClick xmlns:r="http://schemas.openxmlformats.org/officeDocument/2006/relationships" r:id="rId14"/>
            </xdr:cNvPr>
            <xdr:cNvSpPr txBox="1"/>
          </xdr:nvSpPr>
          <xdr:spPr>
            <a:xfrm>
              <a:off x="10363200" y="38347650"/>
              <a:ext cx="2124076" cy="428625"/>
            </a:xfrm>
            <a:prstGeom prst="rect">
              <a:avLst/>
            </a:prstGeom>
            <a:solidFill>
              <a:schemeClr val="tx2"/>
            </a:solidFill>
            <a:ln w="9525" cmpd="sng">
              <a:solidFill>
                <a:schemeClr val="lt1">
                  <a:shade val="50000"/>
                </a:schemeClr>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fr-FR" sz="1200" b="1">
                  <a:solidFill>
                    <a:schemeClr val="tx1"/>
                  </a:solidFill>
                </a:rPr>
                <a:t>Informations Client</a:t>
              </a:r>
            </a:p>
          </xdr:txBody>
        </xdr:sp>
        <xdr:sp macro="" textlink="">
          <xdr:nvSpPr>
            <xdr:cNvPr id="566" name="ZoneTexte 565"/>
            <xdr:cNvSpPr txBox="1"/>
          </xdr:nvSpPr>
          <xdr:spPr>
            <a:xfrm>
              <a:off x="10525125" y="37957125"/>
              <a:ext cx="1828800" cy="2857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fr-FR" sz="1600" b="1" u="sng">
                  <a:solidFill>
                    <a:schemeClr val="tx2"/>
                  </a:solidFill>
                </a:rPr>
                <a:t>Accès direct</a:t>
              </a:r>
            </a:p>
          </xdr:txBody>
        </xdr:sp>
      </xdr:grpSp>
      <xdr:sp macro="" textlink="">
        <xdr:nvSpPr>
          <xdr:cNvPr id="549" name="ZoneTexte 548">
            <a:hlinkClick xmlns:r="http://schemas.openxmlformats.org/officeDocument/2006/relationships" r:id="rId15"/>
          </xdr:cNvPr>
          <xdr:cNvSpPr txBox="1"/>
        </xdr:nvSpPr>
        <xdr:spPr>
          <a:xfrm>
            <a:off x="13425488" y="2345531"/>
            <a:ext cx="2118945" cy="462068"/>
          </a:xfrm>
          <a:prstGeom prst="rect">
            <a:avLst/>
          </a:prstGeom>
          <a:solidFill>
            <a:schemeClr val="accent3">
              <a:lumMod val="50000"/>
            </a:schemeClr>
          </a:solidFill>
          <a:ln w="9525" cmpd="sng">
            <a:solidFill>
              <a:schemeClr val="lt1">
                <a:shade val="50000"/>
              </a:schemeClr>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fr-FR" sz="1100" b="1">
                <a:solidFill>
                  <a:schemeClr val="bg1"/>
                </a:solidFill>
              </a:rPr>
              <a:t>Déclaration</a:t>
            </a:r>
            <a:r>
              <a:rPr lang="fr-FR" sz="1100" b="1" baseline="0">
                <a:solidFill>
                  <a:schemeClr val="bg1"/>
                </a:solidFill>
              </a:rPr>
              <a:t> 2035</a:t>
            </a:r>
            <a:endParaRPr lang="fr-FR" sz="1100" b="1">
              <a:solidFill>
                <a:schemeClr val="bg1"/>
              </a:solidFill>
            </a:endParaRPr>
          </a:p>
        </xdr:txBody>
      </xdr:sp>
    </xdr:grpSp>
    <xdr:clientData/>
  </xdr:twoCellAnchor>
  <xdr:twoCellAnchor>
    <xdr:from>
      <xdr:col>13</xdr:col>
      <xdr:colOff>238120</xdr:colOff>
      <xdr:row>99</xdr:row>
      <xdr:rowOff>0</xdr:rowOff>
    </xdr:from>
    <xdr:to>
      <xdr:col>16</xdr:col>
      <xdr:colOff>574670</xdr:colOff>
      <xdr:row>131</xdr:row>
      <xdr:rowOff>112711</xdr:rowOff>
    </xdr:to>
    <xdr:grpSp>
      <xdr:nvGrpSpPr>
        <xdr:cNvPr id="567" name="Groupe 566"/>
        <xdr:cNvGrpSpPr/>
      </xdr:nvGrpSpPr>
      <xdr:grpSpPr>
        <a:xfrm>
          <a:off x="13346901" y="23229094"/>
          <a:ext cx="2622550" cy="7399336"/>
          <a:chOff x="13173605" y="1266030"/>
          <a:chExt cx="2622550" cy="7399336"/>
        </a:xfrm>
      </xdr:grpSpPr>
      <xdr:grpSp>
        <xdr:nvGrpSpPr>
          <xdr:cNvPr id="568" name="Groupe 170"/>
          <xdr:cNvGrpSpPr/>
        </xdr:nvGrpSpPr>
        <xdr:grpSpPr>
          <a:xfrm>
            <a:off x="13173605" y="1266018"/>
            <a:ext cx="2622550" cy="7399334"/>
            <a:chOff x="10106025" y="37957125"/>
            <a:chExt cx="2628900" cy="7843112"/>
          </a:xfrm>
        </xdr:grpSpPr>
        <xdr:sp macro="" textlink="">
          <xdr:nvSpPr>
            <xdr:cNvPr id="570" name="ZoneTexte 569">
              <a:hlinkClick xmlns:r="http://schemas.openxmlformats.org/officeDocument/2006/relationships" r:id="rId2"/>
            </xdr:cNvPr>
            <xdr:cNvSpPr txBox="1"/>
          </xdr:nvSpPr>
          <xdr:spPr>
            <a:xfrm>
              <a:off x="10358437" y="39615312"/>
              <a:ext cx="2124076" cy="491978"/>
            </a:xfrm>
            <a:prstGeom prst="rect">
              <a:avLst/>
            </a:prstGeom>
            <a:solidFill>
              <a:schemeClr val="accent3">
                <a:lumMod val="50000"/>
              </a:schemeClr>
            </a:solidFill>
            <a:ln w="9525" cmpd="sng">
              <a:solidFill>
                <a:schemeClr val="lt1">
                  <a:shade val="50000"/>
                </a:schemeClr>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fr-FR" sz="1100" b="1">
                  <a:solidFill>
                    <a:schemeClr val="bg1"/>
                  </a:solidFill>
                </a:rPr>
                <a:t>Vos cotisations</a:t>
              </a:r>
              <a:r>
                <a:rPr lang="fr-FR" sz="1100" b="1" baseline="0">
                  <a:solidFill>
                    <a:schemeClr val="bg1"/>
                  </a:solidFill>
                </a:rPr>
                <a:t> obligatoires</a:t>
              </a:r>
              <a:endParaRPr lang="fr-FR" sz="1100" b="1">
                <a:solidFill>
                  <a:schemeClr val="bg1"/>
                </a:solidFill>
              </a:endParaRPr>
            </a:p>
          </xdr:txBody>
        </xdr:sp>
        <xdr:sp macro="" textlink="">
          <xdr:nvSpPr>
            <xdr:cNvPr id="571" name="ZoneTexte 570">
              <a:hlinkClick xmlns:r="http://schemas.openxmlformats.org/officeDocument/2006/relationships" r:id="rId3"/>
            </xdr:cNvPr>
            <xdr:cNvSpPr txBox="1"/>
          </xdr:nvSpPr>
          <xdr:spPr>
            <a:xfrm>
              <a:off x="10358437" y="40137296"/>
              <a:ext cx="2124076" cy="491978"/>
            </a:xfrm>
            <a:prstGeom prst="rect">
              <a:avLst/>
            </a:prstGeom>
            <a:solidFill>
              <a:schemeClr val="accent3">
                <a:lumMod val="50000"/>
              </a:schemeClr>
            </a:solidFill>
            <a:ln w="9525" cmpd="sng">
              <a:solidFill>
                <a:schemeClr val="lt1">
                  <a:shade val="50000"/>
                </a:schemeClr>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fr-FR" sz="1100" b="1">
                  <a:solidFill>
                    <a:schemeClr val="bg1"/>
                  </a:solidFill>
                </a:rPr>
                <a:t>Votre</a:t>
              </a:r>
              <a:r>
                <a:rPr lang="fr-FR" sz="1100" b="1" baseline="0">
                  <a:solidFill>
                    <a:schemeClr val="bg1"/>
                  </a:solidFill>
                </a:rPr>
                <a:t> impôt sur le revenu</a:t>
              </a:r>
              <a:endParaRPr lang="fr-FR" sz="1100" b="1">
                <a:solidFill>
                  <a:schemeClr val="bg1"/>
                </a:solidFill>
              </a:endParaRPr>
            </a:p>
          </xdr:txBody>
        </xdr:sp>
        <xdr:sp macro="" textlink="">
          <xdr:nvSpPr>
            <xdr:cNvPr id="572" name="ZoneTexte 571">
              <a:hlinkClick xmlns:r="http://schemas.openxmlformats.org/officeDocument/2006/relationships" r:id="rId4"/>
            </xdr:cNvPr>
            <xdr:cNvSpPr txBox="1"/>
          </xdr:nvSpPr>
          <xdr:spPr>
            <a:xfrm>
              <a:off x="10358437" y="40659280"/>
              <a:ext cx="2124076" cy="491978"/>
            </a:xfrm>
            <a:prstGeom prst="rect">
              <a:avLst/>
            </a:prstGeom>
            <a:solidFill>
              <a:schemeClr val="accent3">
                <a:lumMod val="50000"/>
              </a:schemeClr>
            </a:solidFill>
            <a:ln w="9525" cmpd="sng">
              <a:solidFill>
                <a:schemeClr val="lt1">
                  <a:shade val="50000"/>
                </a:schemeClr>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fr-FR" sz="1100" b="1">
                  <a:solidFill>
                    <a:schemeClr val="bg1"/>
                  </a:solidFill>
                </a:rPr>
                <a:t>Récapitulatif</a:t>
              </a:r>
              <a:r>
                <a:rPr lang="fr-FR" sz="1100" b="1" baseline="0">
                  <a:solidFill>
                    <a:schemeClr val="bg1"/>
                  </a:solidFill>
                </a:rPr>
                <a:t> de vos prélèvements obligatoires</a:t>
              </a:r>
              <a:endParaRPr lang="fr-FR" sz="1100" b="1">
                <a:solidFill>
                  <a:schemeClr val="bg1"/>
                </a:solidFill>
              </a:endParaRPr>
            </a:p>
          </xdr:txBody>
        </xdr:sp>
        <xdr:sp macro="" textlink="">
          <xdr:nvSpPr>
            <xdr:cNvPr id="573" name="ZoneTexte 572">
              <a:hlinkClick xmlns:r="http://schemas.openxmlformats.org/officeDocument/2006/relationships" r:id="rId5"/>
            </xdr:cNvPr>
            <xdr:cNvSpPr txBox="1"/>
          </xdr:nvSpPr>
          <xdr:spPr>
            <a:xfrm>
              <a:off x="10358437" y="41159670"/>
              <a:ext cx="2124076" cy="491978"/>
            </a:xfrm>
            <a:prstGeom prst="rect">
              <a:avLst/>
            </a:prstGeom>
            <a:solidFill>
              <a:schemeClr val="accent3">
                <a:lumMod val="50000"/>
              </a:schemeClr>
            </a:solidFill>
            <a:ln w="9525" cmpd="sng">
              <a:solidFill>
                <a:schemeClr val="lt1">
                  <a:shade val="50000"/>
                </a:schemeClr>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fr-FR" sz="1100" b="1">
                  <a:solidFill>
                    <a:schemeClr val="bg1"/>
                  </a:solidFill>
                </a:rPr>
                <a:t>Votre équilibre financier</a:t>
              </a:r>
            </a:p>
          </xdr:txBody>
        </xdr:sp>
        <xdr:sp macro="" textlink="">
          <xdr:nvSpPr>
            <xdr:cNvPr id="574" name="ZoneTexte 573"/>
            <xdr:cNvSpPr txBox="1"/>
          </xdr:nvSpPr>
          <xdr:spPr>
            <a:xfrm>
              <a:off x="10506075" y="38860074"/>
              <a:ext cx="1828800" cy="2857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fr-FR" sz="1200" b="1"/>
                <a:t>Exercice individuel</a:t>
              </a:r>
            </a:p>
          </xdr:txBody>
        </xdr:sp>
        <xdr:sp macro="" textlink="">
          <xdr:nvSpPr>
            <xdr:cNvPr id="575" name="ZoneTexte 574">
              <a:hlinkClick xmlns:r="http://schemas.openxmlformats.org/officeDocument/2006/relationships" r:id="rId6"/>
            </xdr:cNvPr>
            <xdr:cNvSpPr txBox="1"/>
          </xdr:nvSpPr>
          <xdr:spPr>
            <a:xfrm>
              <a:off x="10358437" y="41961661"/>
              <a:ext cx="2124076" cy="428625"/>
            </a:xfrm>
            <a:prstGeom prst="rect">
              <a:avLst/>
            </a:prstGeom>
            <a:solidFill>
              <a:schemeClr val="accent6"/>
            </a:solidFill>
            <a:ln w="9525" cmpd="sng">
              <a:solidFill>
                <a:schemeClr val="lt1">
                  <a:shade val="50000"/>
                </a:schemeClr>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fr-FR" sz="1100">
                  <a:solidFill>
                    <a:schemeClr val="bg1"/>
                  </a:solidFill>
                </a:rPr>
                <a:t>Conséquences</a:t>
              </a:r>
              <a:r>
                <a:rPr lang="fr-FR" sz="1100" baseline="0">
                  <a:solidFill>
                    <a:schemeClr val="bg1"/>
                  </a:solidFill>
                </a:rPr>
                <a:t> du passage en SEL</a:t>
              </a:r>
              <a:endParaRPr lang="fr-FR" sz="1100">
                <a:solidFill>
                  <a:schemeClr val="bg1"/>
                </a:solidFill>
              </a:endParaRPr>
            </a:p>
          </xdr:txBody>
        </xdr:sp>
        <xdr:sp macro="" textlink="">
          <xdr:nvSpPr>
            <xdr:cNvPr id="576" name="ZoneTexte 575">
              <a:hlinkClick xmlns:r="http://schemas.openxmlformats.org/officeDocument/2006/relationships" r:id="rId7"/>
            </xdr:cNvPr>
            <xdr:cNvSpPr txBox="1"/>
          </xdr:nvSpPr>
          <xdr:spPr>
            <a:xfrm>
              <a:off x="10358437" y="42409337"/>
              <a:ext cx="2124076" cy="428625"/>
            </a:xfrm>
            <a:prstGeom prst="rect">
              <a:avLst/>
            </a:prstGeom>
            <a:solidFill>
              <a:schemeClr val="accent6"/>
            </a:solidFill>
            <a:ln w="9525" cmpd="sng">
              <a:solidFill>
                <a:schemeClr val="lt1">
                  <a:shade val="50000"/>
                </a:schemeClr>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fr-FR" sz="1100">
                  <a:solidFill>
                    <a:schemeClr val="bg1"/>
                  </a:solidFill>
                </a:rPr>
                <a:t>Les cotisations</a:t>
              </a:r>
              <a:r>
                <a:rPr lang="fr-FR" sz="1100" baseline="0">
                  <a:solidFill>
                    <a:schemeClr val="bg1"/>
                  </a:solidFill>
                </a:rPr>
                <a:t> sociales obligatoires du gérant</a:t>
              </a:r>
              <a:endParaRPr lang="fr-FR" sz="1100">
                <a:solidFill>
                  <a:schemeClr val="bg1"/>
                </a:solidFill>
              </a:endParaRPr>
            </a:p>
          </xdr:txBody>
        </xdr:sp>
        <xdr:sp macro="" textlink="">
          <xdr:nvSpPr>
            <xdr:cNvPr id="577" name="ZoneTexte 576">
              <a:hlinkClick xmlns:r="http://schemas.openxmlformats.org/officeDocument/2006/relationships" r:id="rId8"/>
            </xdr:cNvPr>
            <xdr:cNvSpPr txBox="1"/>
          </xdr:nvSpPr>
          <xdr:spPr>
            <a:xfrm>
              <a:off x="10358437" y="42857012"/>
              <a:ext cx="2124076" cy="419101"/>
            </a:xfrm>
            <a:prstGeom prst="rect">
              <a:avLst/>
            </a:prstGeom>
            <a:solidFill>
              <a:schemeClr val="accent6"/>
            </a:solidFill>
            <a:ln w="9525" cmpd="sng">
              <a:solidFill>
                <a:schemeClr val="lt1">
                  <a:shade val="50000"/>
                </a:schemeClr>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fr-FR" sz="1100">
                  <a:solidFill>
                    <a:schemeClr val="bg1"/>
                  </a:solidFill>
                </a:rPr>
                <a:t>Le compte de résultat</a:t>
              </a:r>
              <a:r>
                <a:rPr lang="fr-FR" sz="1100" baseline="0">
                  <a:solidFill>
                    <a:schemeClr val="bg1"/>
                  </a:solidFill>
                </a:rPr>
                <a:t> </a:t>
              </a:r>
              <a:endParaRPr lang="fr-FR" sz="1100">
                <a:solidFill>
                  <a:schemeClr val="bg1"/>
                </a:solidFill>
              </a:endParaRPr>
            </a:p>
          </xdr:txBody>
        </xdr:sp>
        <xdr:sp macro="" textlink="">
          <xdr:nvSpPr>
            <xdr:cNvPr id="578" name="ZoneTexte 577">
              <a:hlinkClick xmlns:r="http://schemas.openxmlformats.org/officeDocument/2006/relationships" r:id="rId9"/>
            </xdr:cNvPr>
            <xdr:cNvSpPr txBox="1"/>
          </xdr:nvSpPr>
          <xdr:spPr>
            <a:xfrm>
              <a:off x="10358437" y="43295163"/>
              <a:ext cx="2124076" cy="438149"/>
            </a:xfrm>
            <a:prstGeom prst="rect">
              <a:avLst/>
            </a:prstGeom>
            <a:solidFill>
              <a:schemeClr val="accent6"/>
            </a:solidFill>
            <a:ln w="9525" cmpd="sng">
              <a:solidFill>
                <a:schemeClr val="lt1">
                  <a:shade val="50000"/>
                </a:schemeClr>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fr-FR" sz="1100">
                  <a:solidFill>
                    <a:schemeClr val="bg1"/>
                  </a:solidFill>
                </a:rPr>
                <a:t>Imposition</a:t>
              </a:r>
              <a:r>
                <a:rPr lang="fr-FR" sz="1100" baseline="0">
                  <a:solidFill>
                    <a:schemeClr val="bg1"/>
                  </a:solidFill>
                </a:rPr>
                <a:t> personnelle du gérant</a:t>
              </a:r>
              <a:endParaRPr lang="fr-FR" sz="1100">
                <a:solidFill>
                  <a:schemeClr val="bg1"/>
                </a:solidFill>
              </a:endParaRPr>
            </a:p>
          </xdr:txBody>
        </xdr:sp>
        <xdr:sp macro="" textlink="">
          <xdr:nvSpPr>
            <xdr:cNvPr id="579" name="ZoneTexte 578"/>
            <xdr:cNvSpPr txBox="1"/>
          </xdr:nvSpPr>
          <xdr:spPr>
            <a:xfrm>
              <a:off x="10506075" y="41647338"/>
              <a:ext cx="1828800" cy="2857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fr-FR" sz="1200" b="1"/>
                <a:t>Exercice</a:t>
              </a:r>
              <a:r>
                <a:rPr lang="fr-FR" sz="1200" b="1" baseline="0"/>
                <a:t> en SEL</a:t>
              </a:r>
              <a:endParaRPr lang="fr-FR" sz="1200" b="1"/>
            </a:p>
          </xdr:txBody>
        </xdr:sp>
        <xdr:sp macro="" textlink="">
          <xdr:nvSpPr>
            <xdr:cNvPr id="580" name="Rectangle à coins arrondis 579"/>
            <xdr:cNvSpPr/>
          </xdr:nvSpPr>
          <xdr:spPr>
            <a:xfrm>
              <a:off x="10106025" y="38080947"/>
              <a:ext cx="2628900" cy="7719290"/>
            </a:xfrm>
            <a:prstGeom prst="roundRect">
              <a:avLst/>
            </a:prstGeom>
            <a:noFill/>
            <a:ln>
              <a:solidFill>
                <a:schemeClr val="tx2"/>
              </a:solidFill>
            </a:ln>
            <a:effectLst>
              <a:glow rad="63500">
                <a:schemeClr val="bg1">
                  <a:lumMod val="75000"/>
                  <a:alpha val="40000"/>
                </a:schemeClr>
              </a:glo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fr-FR" sz="1000"/>
                <a:t>c</a:t>
              </a:r>
            </a:p>
          </xdr:txBody>
        </xdr:sp>
        <xdr:sp macro="" textlink="">
          <xdr:nvSpPr>
            <xdr:cNvPr id="581" name="ZoneTexte 580">
              <a:hlinkClick xmlns:r="http://schemas.openxmlformats.org/officeDocument/2006/relationships" r:id="rId10"/>
            </xdr:cNvPr>
            <xdr:cNvSpPr txBox="1"/>
          </xdr:nvSpPr>
          <xdr:spPr>
            <a:xfrm>
              <a:off x="10358437" y="43752363"/>
              <a:ext cx="2124076" cy="428625"/>
            </a:xfrm>
            <a:prstGeom prst="rect">
              <a:avLst/>
            </a:prstGeom>
            <a:solidFill>
              <a:schemeClr val="accent6"/>
            </a:solidFill>
            <a:ln w="9525" cmpd="sng">
              <a:solidFill>
                <a:schemeClr val="lt1">
                  <a:shade val="50000"/>
                </a:schemeClr>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fr-FR" sz="1100">
                  <a:solidFill>
                    <a:schemeClr val="bg1"/>
                  </a:solidFill>
                </a:rPr>
                <a:t>Récapitulatif</a:t>
              </a:r>
              <a:r>
                <a:rPr lang="fr-FR" sz="1100" baseline="0">
                  <a:solidFill>
                    <a:schemeClr val="bg1"/>
                  </a:solidFill>
                </a:rPr>
                <a:t> des prélèvements obligatoires</a:t>
              </a:r>
              <a:endParaRPr lang="fr-FR" sz="1100">
                <a:solidFill>
                  <a:schemeClr val="bg1"/>
                </a:solidFill>
              </a:endParaRPr>
            </a:p>
          </xdr:txBody>
        </xdr:sp>
        <xdr:sp macro="" textlink="">
          <xdr:nvSpPr>
            <xdr:cNvPr id="582" name="ZoneTexte 581">
              <a:hlinkClick xmlns:r="http://schemas.openxmlformats.org/officeDocument/2006/relationships" r:id="rId11"/>
            </xdr:cNvPr>
            <xdr:cNvSpPr txBox="1"/>
          </xdr:nvSpPr>
          <xdr:spPr>
            <a:xfrm>
              <a:off x="10358437" y="44200038"/>
              <a:ext cx="2124076" cy="428625"/>
            </a:xfrm>
            <a:prstGeom prst="rect">
              <a:avLst/>
            </a:prstGeom>
            <a:solidFill>
              <a:schemeClr val="accent6"/>
            </a:solidFill>
            <a:ln w="9525" cmpd="sng">
              <a:solidFill>
                <a:schemeClr val="lt1">
                  <a:shade val="50000"/>
                </a:schemeClr>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fr-FR" sz="1100">
                  <a:solidFill>
                    <a:schemeClr val="bg1"/>
                  </a:solidFill>
                </a:rPr>
                <a:t>Equili</a:t>
              </a:r>
              <a:r>
                <a:rPr lang="fr-FR" sz="1100" baseline="0">
                  <a:solidFill>
                    <a:schemeClr val="bg1"/>
                  </a:solidFill>
                </a:rPr>
                <a:t>bre financier</a:t>
              </a:r>
              <a:endParaRPr lang="fr-FR" sz="1100">
                <a:solidFill>
                  <a:schemeClr val="bg1"/>
                </a:solidFill>
              </a:endParaRPr>
            </a:p>
          </xdr:txBody>
        </xdr:sp>
        <xdr:sp macro="" textlink="">
          <xdr:nvSpPr>
            <xdr:cNvPr id="583" name="ZoneTexte 582">
              <a:hlinkClick xmlns:r="http://schemas.openxmlformats.org/officeDocument/2006/relationships" r:id="rId12"/>
            </xdr:cNvPr>
            <xdr:cNvSpPr txBox="1"/>
          </xdr:nvSpPr>
          <xdr:spPr>
            <a:xfrm>
              <a:off x="10358437" y="44647712"/>
              <a:ext cx="2124076" cy="428625"/>
            </a:xfrm>
            <a:prstGeom prst="rect">
              <a:avLst/>
            </a:prstGeom>
            <a:solidFill>
              <a:schemeClr val="accent6"/>
            </a:solidFill>
            <a:ln w="9525" cmpd="sng">
              <a:solidFill>
                <a:schemeClr val="lt1">
                  <a:shade val="50000"/>
                </a:schemeClr>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fr-FR" sz="1100">
                  <a:solidFill>
                    <a:schemeClr val="bg1"/>
                  </a:solidFill>
                </a:rPr>
                <a:t>Revenu</a:t>
              </a:r>
              <a:r>
                <a:rPr lang="fr-FR" sz="1100" baseline="0">
                  <a:solidFill>
                    <a:schemeClr val="bg1"/>
                  </a:solidFill>
                </a:rPr>
                <a:t> disponible personnel</a:t>
              </a:r>
              <a:endParaRPr lang="fr-FR" sz="1100">
                <a:solidFill>
                  <a:schemeClr val="bg1"/>
                </a:solidFill>
              </a:endParaRPr>
            </a:p>
          </xdr:txBody>
        </xdr:sp>
        <xdr:sp macro="" textlink="">
          <xdr:nvSpPr>
            <xdr:cNvPr id="584" name="ZoneTexte 583">
              <a:hlinkClick xmlns:r="http://schemas.openxmlformats.org/officeDocument/2006/relationships" r:id="rId13"/>
            </xdr:cNvPr>
            <xdr:cNvSpPr txBox="1"/>
          </xdr:nvSpPr>
          <xdr:spPr>
            <a:xfrm>
              <a:off x="10358437" y="45266841"/>
              <a:ext cx="2124076" cy="428625"/>
            </a:xfrm>
            <a:prstGeom prst="rect">
              <a:avLst/>
            </a:prstGeom>
            <a:solidFill>
              <a:schemeClr val="tx2"/>
            </a:solidFill>
            <a:ln w="9525" cmpd="sng">
              <a:solidFill>
                <a:schemeClr val="lt1">
                  <a:shade val="50000"/>
                </a:schemeClr>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fr-FR" sz="1200" b="1">
                  <a:solidFill>
                    <a:schemeClr val="tx1"/>
                  </a:solidFill>
                </a:rPr>
                <a:t>Conclusion</a:t>
              </a:r>
            </a:p>
          </xdr:txBody>
        </xdr:sp>
        <xdr:sp macro="" textlink="">
          <xdr:nvSpPr>
            <xdr:cNvPr id="585" name="ZoneTexte 584">
              <a:hlinkClick xmlns:r="http://schemas.openxmlformats.org/officeDocument/2006/relationships" r:id="rId14"/>
            </xdr:cNvPr>
            <xdr:cNvSpPr txBox="1"/>
          </xdr:nvSpPr>
          <xdr:spPr>
            <a:xfrm>
              <a:off x="10363200" y="38347650"/>
              <a:ext cx="2124076" cy="428625"/>
            </a:xfrm>
            <a:prstGeom prst="rect">
              <a:avLst/>
            </a:prstGeom>
            <a:solidFill>
              <a:schemeClr val="tx2"/>
            </a:solidFill>
            <a:ln w="9525" cmpd="sng">
              <a:solidFill>
                <a:schemeClr val="lt1">
                  <a:shade val="50000"/>
                </a:schemeClr>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fr-FR" sz="1200" b="1">
                  <a:solidFill>
                    <a:schemeClr val="tx1"/>
                  </a:solidFill>
                </a:rPr>
                <a:t>Informations Client</a:t>
              </a:r>
            </a:p>
          </xdr:txBody>
        </xdr:sp>
        <xdr:sp macro="" textlink="">
          <xdr:nvSpPr>
            <xdr:cNvPr id="586" name="ZoneTexte 585"/>
            <xdr:cNvSpPr txBox="1"/>
          </xdr:nvSpPr>
          <xdr:spPr>
            <a:xfrm>
              <a:off x="10525125" y="37957125"/>
              <a:ext cx="1828800" cy="2857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fr-FR" sz="1600" b="1" u="sng">
                  <a:solidFill>
                    <a:schemeClr val="tx2"/>
                  </a:solidFill>
                </a:rPr>
                <a:t>Accès direct</a:t>
              </a:r>
            </a:p>
          </xdr:txBody>
        </xdr:sp>
      </xdr:grpSp>
      <xdr:sp macro="" textlink="">
        <xdr:nvSpPr>
          <xdr:cNvPr id="569" name="ZoneTexte 568">
            <a:hlinkClick xmlns:r="http://schemas.openxmlformats.org/officeDocument/2006/relationships" r:id="rId15"/>
          </xdr:cNvPr>
          <xdr:cNvSpPr txBox="1"/>
        </xdr:nvSpPr>
        <xdr:spPr>
          <a:xfrm>
            <a:off x="13425488" y="2345531"/>
            <a:ext cx="2118945" cy="462068"/>
          </a:xfrm>
          <a:prstGeom prst="rect">
            <a:avLst/>
          </a:prstGeom>
          <a:solidFill>
            <a:schemeClr val="accent3">
              <a:lumMod val="50000"/>
            </a:schemeClr>
          </a:solidFill>
          <a:ln w="9525" cmpd="sng">
            <a:solidFill>
              <a:schemeClr val="lt1">
                <a:shade val="50000"/>
              </a:schemeClr>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fr-FR" sz="1100" b="1">
                <a:solidFill>
                  <a:schemeClr val="bg1"/>
                </a:solidFill>
              </a:rPr>
              <a:t>Déclaration</a:t>
            </a:r>
            <a:r>
              <a:rPr lang="fr-FR" sz="1100" b="1" baseline="0">
                <a:solidFill>
                  <a:schemeClr val="bg1"/>
                </a:solidFill>
              </a:rPr>
              <a:t> 2035</a:t>
            </a:r>
            <a:endParaRPr lang="fr-FR" sz="1100" b="1">
              <a:solidFill>
                <a:schemeClr val="bg1"/>
              </a:solidFill>
            </a:endParaRPr>
          </a:p>
        </xdr:txBody>
      </xdr:sp>
    </xdr:grpSp>
    <xdr:clientData/>
  </xdr:twoCellAnchor>
  <xdr:twoCellAnchor>
    <xdr:from>
      <xdr:col>13</xdr:col>
      <xdr:colOff>238120</xdr:colOff>
      <xdr:row>159</xdr:row>
      <xdr:rowOff>0</xdr:rowOff>
    </xdr:from>
    <xdr:to>
      <xdr:col>16</xdr:col>
      <xdr:colOff>574670</xdr:colOff>
      <xdr:row>189</xdr:row>
      <xdr:rowOff>5555</xdr:rowOff>
    </xdr:to>
    <xdr:grpSp>
      <xdr:nvGrpSpPr>
        <xdr:cNvPr id="587" name="Groupe 586"/>
        <xdr:cNvGrpSpPr/>
      </xdr:nvGrpSpPr>
      <xdr:grpSpPr>
        <a:xfrm>
          <a:off x="13346901" y="37064156"/>
          <a:ext cx="2622550" cy="7399337"/>
          <a:chOff x="13173605" y="1266030"/>
          <a:chExt cx="2622550" cy="7399336"/>
        </a:xfrm>
      </xdr:grpSpPr>
      <xdr:grpSp>
        <xdr:nvGrpSpPr>
          <xdr:cNvPr id="588" name="Groupe 170"/>
          <xdr:cNvGrpSpPr/>
        </xdr:nvGrpSpPr>
        <xdr:grpSpPr>
          <a:xfrm>
            <a:off x="13173605" y="1266018"/>
            <a:ext cx="2622550" cy="7399334"/>
            <a:chOff x="10106025" y="37957125"/>
            <a:chExt cx="2628900" cy="7843112"/>
          </a:xfrm>
        </xdr:grpSpPr>
        <xdr:sp macro="" textlink="">
          <xdr:nvSpPr>
            <xdr:cNvPr id="590" name="ZoneTexte 589">
              <a:hlinkClick xmlns:r="http://schemas.openxmlformats.org/officeDocument/2006/relationships" r:id="rId2"/>
            </xdr:cNvPr>
            <xdr:cNvSpPr txBox="1"/>
          </xdr:nvSpPr>
          <xdr:spPr>
            <a:xfrm>
              <a:off x="10358437" y="39615312"/>
              <a:ext cx="2124076" cy="491978"/>
            </a:xfrm>
            <a:prstGeom prst="rect">
              <a:avLst/>
            </a:prstGeom>
            <a:solidFill>
              <a:schemeClr val="accent3">
                <a:lumMod val="50000"/>
              </a:schemeClr>
            </a:solidFill>
            <a:ln w="9525" cmpd="sng">
              <a:solidFill>
                <a:schemeClr val="lt1">
                  <a:shade val="50000"/>
                </a:schemeClr>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fr-FR" sz="1100" b="1">
                  <a:solidFill>
                    <a:schemeClr val="bg1"/>
                  </a:solidFill>
                </a:rPr>
                <a:t>Vos cotisations</a:t>
              </a:r>
              <a:r>
                <a:rPr lang="fr-FR" sz="1100" b="1" baseline="0">
                  <a:solidFill>
                    <a:schemeClr val="bg1"/>
                  </a:solidFill>
                </a:rPr>
                <a:t> obligatoires</a:t>
              </a:r>
              <a:endParaRPr lang="fr-FR" sz="1100" b="1">
                <a:solidFill>
                  <a:schemeClr val="bg1"/>
                </a:solidFill>
              </a:endParaRPr>
            </a:p>
          </xdr:txBody>
        </xdr:sp>
        <xdr:sp macro="" textlink="">
          <xdr:nvSpPr>
            <xdr:cNvPr id="591" name="ZoneTexte 590">
              <a:hlinkClick xmlns:r="http://schemas.openxmlformats.org/officeDocument/2006/relationships" r:id="rId3"/>
            </xdr:cNvPr>
            <xdr:cNvSpPr txBox="1"/>
          </xdr:nvSpPr>
          <xdr:spPr>
            <a:xfrm>
              <a:off x="10358437" y="40137296"/>
              <a:ext cx="2124076" cy="491978"/>
            </a:xfrm>
            <a:prstGeom prst="rect">
              <a:avLst/>
            </a:prstGeom>
            <a:solidFill>
              <a:schemeClr val="accent3">
                <a:lumMod val="50000"/>
              </a:schemeClr>
            </a:solidFill>
            <a:ln w="9525" cmpd="sng">
              <a:solidFill>
                <a:schemeClr val="lt1">
                  <a:shade val="50000"/>
                </a:schemeClr>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fr-FR" sz="1100" b="1">
                  <a:solidFill>
                    <a:schemeClr val="bg1"/>
                  </a:solidFill>
                </a:rPr>
                <a:t>Votre</a:t>
              </a:r>
              <a:r>
                <a:rPr lang="fr-FR" sz="1100" b="1" baseline="0">
                  <a:solidFill>
                    <a:schemeClr val="bg1"/>
                  </a:solidFill>
                </a:rPr>
                <a:t> impôt sur le revenu</a:t>
              </a:r>
              <a:endParaRPr lang="fr-FR" sz="1100" b="1">
                <a:solidFill>
                  <a:schemeClr val="bg1"/>
                </a:solidFill>
              </a:endParaRPr>
            </a:p>
          </xdr:txBody>
        </xdr:sp>
        <xdr:sp macro="" textlink="">
          <xdr:nvSpPr>
            <xdr:cNvPr id="592" name="ZoneTexte 591">
              <a:hlinkClick xmlns:r="http://schemas.openxmlformats.org/officeDocument/2006/relationships" r:id="rId4"/>
            </xdr:cNvPr>
            <xdr:cNvSpPr txBox="1"/>
          </xdr:nvSpPr>
          <xdr:spPr>
            <a:xfrm>
              <a:off x="10358437" y="40659280"/>
              <a:ext cx="2124076" cy="491978"/>
            </a:xfrm>
            <a:prstGeom prst="rect">
              <a:avLst/>
            </a:prstGeom>
            <a:solidFill>
              <a:schemeClr val="accent3">
                <a:lumMod val="50000"/>
              </a:schemeClr>
            </a:solidFill>
            <a:ln w="9525" cmpd="sng">
              <a:solidFill>
                <a:schemeClr val="lt1">
                  <a:shade val="50000"/>
                </a:schemeClr>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fr-FR" sz="1100" b="1">
                  <a:solidFill>
                    <a:schemeClr val="bg1"/>
                  </a:solidFill>
                </a:rPr>
                <a:t>Récapitulatif</a:t>
              </a:r>
              <a:r>
                <a:rPr lang="fr-FR" sz="1100" b="1" baseline="0">
                  <a:solidFill>
                    <a:schemeClr val="bg1"/>
                  </a:solidFill>
                </a:rPr>
                <a:t> de vos prélèvements obligatoires</a:t>
              </a:r>
              <a:endParaRPr lang="fr-FR" sz="1100" b="1">
                <a:solidFill>
                  <a:schemeClr val="bg1"/>
                </a:solidFill>
              </a:endParaRPr>
            </a:p>
          </xdr:txBody>
        </xdr:sp>
        <xdr:sp macro="" textlink="">
          <xdr:nvSpPr>
            <xdr:cNvPr id="593" name="ZoneTexte 592">
              <a:hlinkClick xmlns:r="http://schemas.openxmlformats.org/officeDocument/2006/relationships" r:id="rId5"/>
            </xdr:cNvPr>
            <xdr:cNvSpPr txBox="1"/>
          </xdr:nvSpPr>
          <xdr:spPr>
            <a:xfrm>
              <a:off x="10358437" y="41159670"/>
              <a:ext cx="2124076" cy="491978"/>
            </a:xfrm>
            <a:prstGeom prst="rect">
              <a:avLst/>
            </a:prstGeom>
            <a:solidFill>
              <a:schemeClr val="accent3">
                <a:lumMod val="50000"/>
              </a:schemeClr>
            </a:solidFill>
            <a:ln w="9525" cmpd="sng">
              <a:solidFill>
                <a:schemeClr val="lt1">
                  <a:shade val="50000"/>
                </a:schemeClr>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fr-FR" sz="1100" b="1">
                  <a:solidFill>
                    <a:schemeClr val="bg1"/>
                  </a:solidFill>
                </a:rPr>
                <a:t>Votre équilibre financier</a:t>
              </a:r>
            </a:p>
          </xdr:txBody>
        </xdr:sp>
        <xdr:sp macro="" textlink="">
          <xdr:nvSpPr>
            <xdr:cNvPr id="594" name="ZoneTexte 593"/>
            <xdr:cNvSpPr txBox="1"/>
          </xdr:nvSpPr>
          <xdr:spPr>
            <a:xfrm>
              <a:off x="10506075" y="38860074"/>
              <a:ext cx="1828800" cy="2857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fr-FR" sz="1200" b="1"/>
                <a:t>Exercice individuel</a:t>
              </a:r>
            </a:p>
          </xdr:txBody>
        </xdr:sp>
        <xdr:sp macro="" textlink="">
          <xdr:nvSpPr>
            <xdr:cNvPr id="595" name="ZoneTexte 594">
              <a:hlinkClick xmlns:r="http://schemas.openxmlformats.org/officeDocument/2006/relationships" r:id="rId6"/>
            </xdr:cNvPr>
            <xdr:cNvSpPr txBox="1"/>
          </xdr:nvSpPr>
          <xdr:spPr>
            <a:xfrm>
              <a:off x="10358437" y="41961661"/>
              <a:ext cx="2124076" cy="428625"/>
            </a:xfrm>
            <a:prstGeom prst="rect">
              <a:avLst/>
            </a:prstGeom>
            <a:solidFill>
              <a:schemeClr val="accent6"/>
            </a:solidFill>
            <a:ln w="9525" cmpd="sng">
              <a:solidFill>
                <a:schemeClr val="lt1">
                  <a:shade val="50000"/>
                </a:schemeClr>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fr-FR" sz="1100">
                  <a:solidFill>
                    <a:schemeClr val="bg1"/>
                  </a:solidFill>
                </a:rPr>
                <a:t>Conséquences</a:t>
              </a:r>
              <a:r>
                <a:rPr lang="fr-FR" sz="1100" baseline="0">
                  <a:solidFill>
                    <a:schemeClr val="bg1"/>
                  </a:solidFill>
                </a:rPr>
                <a:t> du passage en SEL</a:t>
              </a:r>
              <a:endParaRPr lang="fr-FR" sz="1100">
                <a:solidFill>
                  <a:schemeClr val="bg1"/>
                </a:solidFill>
              </a:endParaRPr>
            </a:p>
          </xdr:txBody>
        </xdr:sp>
        <xdr:sp macro="" textlink="">
          <xdr:nvSpPr>
            <xdr:cNvPr id="596" name="ZoneTexte 595">
              <a:hlinkClick xmlns:r="http://schemas.openxmlformats.org/officeDocument/2006/relationships" r:id="rId7"/>
            </xdr:cNvPr>
            <xdr:cNvSpPr txBox="1"/>
          </xdr:nvSpPr>
          <xdr:spPr>
            <a:xfrm>
              <a:off x="10358437" y="42409337"/>
              <a:ext cx="2124076" cy="428625"/>
            </a:xfrm>
            <a:prstGeom prst="rect">
              <a:avLst/>
            </a:prstGeom>
            <a:solidFill>
              <a:schemeClr val="accent6"/>
            </a:solidFill>
            <a:ln w="9525" cmpd="sng">
              <a:solidFill>
                <a:schemeClr val="lt1">
                  <a:shade val="50000"/>
                </a:schemeClr>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fr-FR" sz="1100">
                  <a:solidFill>
                    <a:schemeClr val="bg1"/>
                  </a:solidFill>
                </a:rPr>
                <a:t>Les cotisations</a:t>
              </a:r>
              <a:r>
                <a:rPr lang="fr-FR" sz="1100" baseline="0">
                  <a:solidFill>
                    <a:schemeClr val="bg1"/>
                  </a:solidFill>
                </a:rPr>
                <a:t> sociales obligatoires du gérant</a:t>
              </a:r>
              <a:endParaRPr lang="fr-FR" sz="1100">
                <a:solidFill>
                  <a:schemeClr val="bg1"/>
                </a:solidFill>
              </a:endParaRPr>
            </a:p>
          </xdr:txBody>
        </xdr:sp>
        <xdr:sp macro="" textlink="">
          <xdr:nvSpPr>
            <xdr:cNvPr id="597" name="ZoneTexte 596">
              <a:hlinkClick xmlns:r="http://schemas.openxmlformats.org/officeDocument/2006/relationships" r:id="rId8"/>
            </xdr:cNvPr>
            <xdr:cNvSpPr txBox="1"/>
          </xdr:nvSpPr>
          <xdr:spPr>
            <a:xfrm>
              <a:off x="10358437" y="42857012"/>
              <a:ext cx="2124076" cy="419101"/>
            </a:xfrm>
            <a:prstGeom prst="rect">
              <a:avLst/>
            </a:prstGeom>
            <a:solidFill>
              <a:schemeClr val="accent6"/>
            </a:solidFill>
            <a:ln w="9525" cmpd="sng">
              <a:solidFill>
                <a:schemeClr val="lt1">
                  <a:shade val="50000"/>
                </a:schemeClr>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fr-FR" sz="1100">
                  <a:solidFill>
                    <a:schemeClr val="bg1"/>
                  </a:solidFill>
                </a:rPr>
                <a:t>Le compte de résultat</a:t>
              </a:r>
              <a:r>
                <a:rPr lang="fr-FR" sz="1100" baseline="0">
                  <a:solidFill>
                    <a:schemeClr val="bg1"/>
                  </a:solidFill>
                </a:rPr>
                <a:t> </a:t>
              </a:r>
              <a:endParaRPr lang="fr-FR" sz="1100">
                <a:solidFill>
                  <a:schemeClr val="bg1"/>
                </a:solidFill>
              </a:endParaRPr>
            </a:p>
          </xdr:txBody>
        </xdr:sp>
        <xdr:sp macro="" textlink="">
          <xdr:nvSpPr>
            <xdr:cNvPr id="598" name="ZoneTexte 597">
              <a:hlinkClick xmlns:r="http://schemas.openxmlformats.org/officeDocument/2006/relationships" r:id="rId9"/>
            </xdr:cNvPr>
            <xdr:cNvSpPr txBox="1"/>
          </xdr:nvSpPr>
          <xdr:spPr>
            <a:xfrm>
              <a:off x="10358437" y="43295163"/>
              <a:ext cx="2124076" cy="438149"/>
            </a:xfrm>
            <a:prstGeom prst="rect">
              <a:avLst/>
            </a:prstGeom>
            <a:solidFill>
              <a:schemeClr val="accent6"/>
            </a:solidFill>
            <a:ln w="9525" cmpd="sng">
              <a:solidFill>
                <a:schemeClr val="lt1">
                  <a:shade val="50000"/>
                </a:schemeClr>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fr-FR" sz="1100">
                  <a:solidFill>
                    <a:schemeClr val="bg1"/>
                  </a:solidFill>
                </a:rPr>
                <a:t>Imposition</a:t>
              </a:r>
              <a:r>
                <a:rPr lang="fr-FR" sz="1100" baseline="0">
                  <a:solidFill>
                    <a:schemeClr val="bg1"/>
                  </a:solidFill>
                </a:rPr>
                <a:t> personnelle du gérant</a:t>
              </a:r>
              <a:endParaRPr lang="fr-FR" sz="1100">
                <a:solidFill>
                  <a:schemeClr val="bg1"/>
                </a:solidFill>
              </a:endParaRPr>
            </a:p>
          </xdr:txBody>
        </xdr:sp>
        <xdr:sp macro="" textlink="">
          <xdr:nvSpPr>
            <xdr:cNvPr id="599" name="ZoneTexte 598"/>
            <xdr:cNvSpPr txBox="1"/>
          </xdr:nvSpPr>
          <xdr:spPr>
            <a:xfrm>
              <a:off x="10506075" y="41647338"/>
              <a:ext cx="1828800" cy="2857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fr-FR" sz="1200" b="1"/>
                <a:t>Exercice</a:t>
              </a:r>
              <a:r>
                <a:rPr lang="fr-FR" sz="1200" b="1" baseline="0"/>
                <a:t> en SEL</a:t>
              </a:r>
              <a:endParaRPr lang="fr-FR" sz="1200" b="1"/>
            </a:p>
          </xdr:txBody>
        </xdr:sp>
        <xdr:sp macro="" textlink="">
          <xdr:nvSpPr>
            <xdr:cNvPr id="600" name="Rectangle à coins arrondis 599"/>
            <xdr:cNvSpPr/>
          </xdr:nvSpPr>
          <xdr:spPr>
            <a:xfrm>
              <a:off x="10106025" y="38080947"/>
              <a:ext cx="2628900" cy="7719290"/>
            </a:xfrm>
            <a:prstGeom prst="roundRect">
              <a:avLst/>
            </a:prstGeom>
            <a:noFill/>
            <a:ln>
              <a:solidFill>
                <a:schemeClr val="tx2"/>
              </a:solidFill>
            </a:ln>
            <a:effectLst>
              <a:glow rad="63500">
                <a:schemeClr val="bg1">
                  <a:lumMod val="75000"/>
                  <a:alpha val="40000"/>
                </a:schemeClr>
              </a:glo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fr-FR" sz="1000"/>
                <a:t>c</a:t>
              </a:r>
            </a:p>
          </xdr:txBody>
        </xdr:sp>
        <xdr:sp macro="" textlink="">
          <xdr:nvSpPr>
            <xdr:cNvPr id="601" name="ZoneTexte 600">
              <a:hlinkClick xmlns:r="http://schemas.openxmlformats.org/officeDocument/2006/relationships" r:id="rId10"/>
            </xdr:cNvPr>
            <xdr:cNvSpPr txBox="1"/>
          </xdr:nvSpPr>
          <xdr:spPr>
            <a:xfrm>
              <a:off x="10358437" y="43752363"/>
              <a:ext cx="2124076" cy="428625"/>
            </a:xfrm>
            <a:prstGeom prst="rect">
              <a:avLst/>
            </a:prstGeom>
            <a:solidFill>
              <a:schemeClr val="accent6"/>
            </a:solidFill>
            <a:ln w="9525" cmpd="sng">
              <a:solidFill>
                <a:schemeClr val="lt1">
                  <a:shade val="50000"/>
                </a:schemeClr>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fr-FR" sz="1100">
                  <a:solidFill>
                    <a:schemeClr val="bg1"/>
                  </a:solidFill>
                </a:rPr>
                <a:t>Récapitulatif</a:t>
              </a:r>
              <a:r>
                <a:rPr lang="fr-FR" sz="1100" baseline="0">
                  <a:solidFill>
                    <a:schemeClr val="bg1"/>
                  </a:solidFill>
                </a:rPr>
                <a:t> des prélèvements obligatoires</a:t>
              </a:r>
              <a:endParaRPr lang="fr-FR" sz="1100">
                <a:solidFill>
                  <a:schemeClr val="bg1"/>
                </a:solidFill>
              </a:endParaRPr>
            </a:p>
          </xdr:txBody>
        </xdr:sp>
        <xdr:sp macro="" textlink="">
          <xdr:nvSpPr>
            <xdr:cNvPr id="602" name="ZoneTexte 601">
              <a:hlinkClick xmlns:r="http://schemas.openxmlformats.org/officeDocument/2006/relationships" r:id="rId11"/>
            </xdr:cNvPr>
            <xdr:cNvSpPr txBox="1"/>
          </xdr:nvSpPr>
          <xdr:spPr>
            <a:xfrm>
              <a:off x="10358437" y="44200038"/>
              <a:ext cx="2124076" cy="428625"/>
            </a:xfrm>
            <a:prstGeom prst="rect">
              <a:avLst/>
            </a:prstGeom>
            <a:solidFill>
              <a:schemeClr val="accent6"/>
            </a:solidFill>
            <a:ln w="9525" cmpd="sng">
              <a:solidFill>
                <a:schemeClr val="lt1">
                  <a:shade val="50000"/>
                </a:schemeClr>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fr-FR" sz="1100">
                  <a:solidFill>
                    <a:schemeClr val="bg1"/>
                  </a:solidFill>
                </a:rPr>
                <a:t>Equili</a:t>
              </a:r>
              <a:r>
                <a:rPr lang="fr-FR" sz="1100" baseline="0">
                  <a:solidFill>
                    <a:schemeClr val="bg1"/>
                  </a:solidFill>
                </a:rPr>
                <a:t>bre financier</a:t>
              </a:r>
              <a:endParaRPr lang="fr-FR" sz="1100">
                <a:solidFill>
                  <a:schemeClr val="bg1"/>
                </a:solidFill>
              </a:endParaRPr>
            </a:p>
          </xdr:txBody>
        </xdr:sp>
        <xdr:sp macro="" textlink="">
          <xdr:nvSpPr>
            <xdr:cNvPr id="603" name="ZoneTexte 602">
              <a:hlinkClick xmlns:r="http://schemas.openxmlformats.org/officeDocument/2006/relationships" r:id="rId12"/>
            </xdr:cNvPr>
            <xdr:cNvSpPr txBox="1"/>
          </xdr:nvSpPr>
          <xdr:spPr>
            <a:xfrm>
              <a:off x="10358437" y="44647712"/>
              <a:ext cx="2124076" cy="428625"/>
            </a:xfrm>
            <a:prstGeom prst="rect">
              <a:avLst/>
            </a:prstGeom>
            <a:solidFill>
              <a:schemeClr val="accent6"/>
            </a:solidFill>
            <a:ln w="9525" cmpd="sng">
              <a:solidFill>
                <a:schemeClr val="lt1">
                  <a:shade val="50000"/>
                </a:schemeClr>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fr-FR" sz="1100">
                  <a:solidFill>
                    <a:schemeClr val="bg1"/>
                  </a:solidFill>
                </a:rPr>
                <a:t>Revenu</a:t>
              </a:r>
              <a:r>
                <a:rPr lang="fr-FR" sz="1100" baseline="0">
                  <a:solidFill>
                    <a:schemeClr val="bg1"/>
                  </a:solidFill>
                </a:rPr>
                <a:t> disponible personnel</a:t>
              </a:r>
              <a:endParaRPr lang="fr-FR" sz="1100">
                <a:solidFill>
                  <a:schemeClr val="bg1"/>
                </a:solidFill>
              </a:endParaRPr>
            </a:p>
          </xdr:txBody>
        </xdr:sp>
        <xdr:sp macro="" textlink="">
          <xdr:nvSpPr>
            <xdr:cNvPr id="604" name="ZoneTexte 603">
              <a:hlinkClick xmlns:r="http://schemas.openxmlformats.org/officeDocument/2006/relationships" r:id="rId13"/>
            </xdr:cNvPr>
            <xdr:cNvSpPr txBox="1"/>
          </xdr:nvSpPr>
          <xdr:spPr>
            <a:xfrm>
              <a:off x="10358437" y="45266841"/>
              <a:ext cx="2124076" cy="428625"/>
            </a:xfrm>
            <a:prstGeom prst="rect">
              <a:avLst/>
            </a:prstGeom>
            <a:solidFill>
              <a:schemeClr val="tx2"/>
            </a:solidFill>
            <a:ln w="9525" cmpd="sng">
              <a:solidFill>
                <a:schemeClr val="lt1">
                  <a:shade val="50000"/>
                </a:schemeClr>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fr-FR" sz="1200" b="1">
                  <a:solidFill>
                    <a:schemeClr val="tx1"/>
                  </a:solidFill>
                </a:rPr>
                <a:t>Conclusion</a:t>
              </a:r>
            </a:p>
          </xdr:txBody>
        </xdr:sp>
        <xdr:sp macro="" textlink="">
          <xdr:nvSpPr>
            <xdr:cNvPr id="605" name="ZoneTexte 604">
              <a:hlinkClick xmlns:r="http://schemas.openxmlformats.org/officeDocument/2006/relationships" r:id="rId14"/>
            </xdr:cNvPr>
            <xdr:cNvSpPr txBox="1"/>
          </xdr:nvSpPr>
          <xdr:spPr>
            <a:xfrm>
              <a:off x="10363200" y="38347650"/>
              <a:ext cx="2124076" cy="428625"/>
            </a:xfrm>
            <a:prstGeom prst="rect">
              <a:avLst/>
            </a:prstGeom>
            <a:solidFill>
              <a:schemeClr val="tx2"/>
            </a:solidFill>
            <a:ln w="9525" cmpd="sng">
              <a:solidFill>
                <a:schemeClr val="lt1">
                  <a:shade val="50000"/>
                </a:schemeClr>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fr-FR" sz="1200" b="1">
                  <a:solidFill>
                    <a:schemeClr val="tx1"/>
                  </a:solidFill>
                </a:rPr>
                <a:t>Informations Client</a:t>
              </a:r>
            </a:p>
          </xdr:txBody>
        </xdr:sp>
        <xdr:sp macro="" textlink="">
          <xdr:nvSpPr>
            <xdr:cNvPr id="606" name="ZoneTexte 605"/>
            <xdr:cNvSpPr txBox="1"/>
          </xdr:nvSpPr>
          <xdr:spPr>
            <a:xfrm>
              <a:off x="10525125" y="37957125"/>
              <a:ext cx="1828800" cy="2857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fr-FR" sz="1600" b="1" u="sng">
                  <a:solidFill>
                    <a:schemeClr val="tx2"/>
                  </a:solidFill>
                </a:rPr>
                <a:t>Accès direct</a:t>
              </a:r>
            </a:p>
          </xdr:txBody>
        </xdr:sp>
      </xdr:grpSp>
      <xdr:sp macro="" textlink="">
        <xdr:nvSpPr>
          <xdr:cNvPr id="589" name="ZoneTexte 588">
            <a:hlinkClick xmlns:r="http://schemas.openxmlformats.org/officeDocument/2006/relationships" r:id="rId15"/>
          </xdr:cNvPr>
          <xdr:cNvSpPr txBox="1"/>
        </xdr:nvSpPr>
        <xdr:spPr>
          <a:xfrm>
            <a:off x="13425488" y="2345531"/>
            <a:ext cx="2118945" cy="462068"/>
          </a:xfrm>
          <a:prstGeom prst="rect">
            <a:avLst/>
          </a:prstGeom>
          <a:solidFill>
            <a:schemeClr val="accent3">
              <a:lumMod val="50000"/>
            </a:schemeClr>
          </a:solidFill>
          <a:ln w="9525" cmpd="sng">
            <a:solidFill>
              <a:schemeClr val="lt1">
                <a:shade val="50000"/>
              </a:schemeClr>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fr-FR" sz="1100" b="1">
                <a:solidFill>
                  <a:schemeClr val="bg1"/>
                </a:solidFill>
              </a:rPr>
              <a:t>Déclaration</a:t>
            </a:r>
            <a:r>
              <a:rPr lang="fr-FR" sz="1100" b="1" baseline="0">
                <a:solidFill>
                  <a:schemeClr val="bg1"/>
                </a:solidFill>
              </a:rPr>
              <a:t> 2035</a:t>
            </a:r>
            <a:endParaRPr lang="fr-FR" sz="1100" b="1">
              <a:solidFill>
                <a:schemeClr val="bg1"/>
              </a:solidFill>
            </a:endParaRPr>
          </a:p>
        </xdr:txBody>
      </xdr:sp>
    </xdr:grpSp>
    <xdr:clientData/>
  </xdr:twoCellAnchor>
  <xdr:twoCellAnchor>
    <xdr:from>
      <xdr:col>13</xdr:col>
      <xdr:colOff>238120</xdr:colOff>
      <xdr:row>210</xdr:row>
      <xdr:rowOff>0</xdr:rowOff>
    </xdr:from>
    <xdr:to>
      <xdr:col>16</xdr:col>
      <xdr:colOff>574670</xdr:colOff>
      <xdr:row>241</xdr:row>
      <xdr:rowOff>53180</xdr:rowOff>
    </xdr:to>
    <xdr:grpSp>
      <xdr:nvGrpSpPr>
        <xdr:cNvPr id="627" name="Groupe 626"/>
        <xdr:cNvGrpSpPr/>
      </xdr:nvGrpSpPr>
      <xdr:grpSpPr>
        <a:xfrm>
          <a:off x="13346901" y="46160531"/>
          <a:ext cx="2622550" cy="7399337"/>
          <a:chOff x="13173605" y="1266030"/>
          <a:chExt cx="2622550" cy="7399336"/>
        </a:xfrm>
      </xdr:grpSpPr>
      <xdr:grpSp>
        <xdr:nvGrpSpPr>
          <xdr:cNvPr id="628" name="Groupe 170"/>
          <xdr:cNvGrpSpPr/>
        </xdr:nvGrpSpPr>
        <xdr:grpSpPr>
          <a:xfrm>
            <a:off x="13173605" y="1266018"/>
            <a:ext cx="2622550" cy="7399334"/>
            <a:chOff x="10106025" y="37957125"/>
            <a:chExt cx="2628900" cy="7843112"/>
          </a:xfrm>
        </xdr:grpSpPr>
        <xdr:sp macro="" textlink="">
          <xdr:nvSpPr>
            <xdr:cNvPr id="630" name="ZoneTexte 629">
              <a:hlinkClick xmlns:r="http://schemas.openxmlformats.org/officeDocument/2006/relationships" r:id="rId2"/>
            </xdr:cNvPr>
            <xdr:cNvSpPr txBox="1"/>
          </xdr:nvSpPr>
          <xdr:spPr>
            <a:xfrm>
              <a:off x="10358437" y="39615312"/>
              <a:ext cx="2124076" cy="491978"/>
            </a:xfrm>
            <a:prstGeom prst="rect">
              <a:avLst/>
            </a:prstGeom>
            <a:solidFill>
              <a:schemeClr val="accent3">
                <a:lumMod val="50000"/>
              </a:schemeClr>
            </a:solidFill>
            <a:ln w="9525" cmpd="sng">
              <a:solidFill>
                <a:schemeClr val="lt1">
                  <a:shade val="50000"/>
                </a:schemeClr>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fr-FR" sz="1100" b="1">
                  <a:solidFill>
                    <a:schemeClr val="bg1"/>
                  </a:solidFill>
                </a:rPr>
                <a:t>Vos cotisations</a:t>
              </a:r>
              <a:r>
                <a:rPr lang="fr-FR" sz="1100" b="1" baseline="0">
                  <a:solidFill>
                    <a:schemeClr val="bg1"/>
                  </a:solidFill>
                </a:rPr>
                <a:t> obligatoires</a:t>
              </a:r>
              <a:endParaRPr lang="fr-FR" sz="1100" b="1">
                <a:solidFill>
                  <a:schemeClr val="bg1"/>
                </a:solidFill>
              </a:endParaRPr>
            </a:p>
          </xdr:txBody>
        </xdr:sp>
        <xdr:sp macro="" textlink="">
          <xdr:nvSpPr>
            <xdr:cNvPr id="631" name="ZoneTexte 630">
              <a:hlinkClick xmlns:r="http://schemas.openxmlformats.org/officeDocument/2006/relationships" r:id="rId3"/>
            </xdr:cNvPr>
            <xdr:cNvSpPr txBox="1"/>
          </xdr:nvSpPr>
          <xdr:spPr>
            <a:xfrm>
              <a:off x="10358437" y="40137296"/>
              <a:ext cx="2124076" cy="491978"/>
            </a:xfrm>
            <a:prstGeom prst="rect">
              <a:avLst/>
            </a:prstGeom>
            <a:solidFill>
              <a:schemeClr val="accent3">
                <a:lumMod val="50000"/>
              </a:schemeClr>
            </a:solidFill>
            <a:ln w="9525" cmpd="sng">
              <a:solidFill>
                <a:schemeClr val="lt1">
                  <a:shade val="50000"/>
                </a:schemeClr>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fr-FR" sz="1100" b="1">
                  <a:solidFill>
                    <a:schemeClr val="bg1"/>
                  </a:solidFill>
                </a:rPr>
                <a:t>Votre</a:t>
              </a:r>
              <a:r>
                <a:rPr lang="fr-FR" sz="1100" b="1" baseline="0">
                  <a:solidFill>
                    <a:schemeClr val="bg1"/>
                  </a:solidFill>
                </a:rPr>
                <a:t> impôt sur le revenu</a:t>
              </a:r>
              <a:endParaRPr lang="fr-FR" sz="1100" b="1">
                <a:solidFill>
                  <a:schemeClr val="bg1"/>
                </a:solidFill>
              </a:endParaRPr>
            </a:p>
          </xdr:txBody>
        </xdr:sp>
        <xdr:sp macro="" textlink="">
          <xdr:nvSpPr>
            <xdr:cNvPr id="632" name="ZoneTexte 631">
              <a:hlinkClick xmlns:r="http://schemas.openxmlformats.org/officeDocument/2006/relationships" r:id="rId4"/>
            </xdr:cNvPr>
            <xdr:cNvSpPr txBox="1"/>
          </xdr:nvSpPr>
          <xdr:spPr>
            <a:xfrm>
              <a:off x="10358437" y="40659280"/>
              <a:ext cx="2124076" cy="491978"/>
            </a:xfrm>
            <a:prstGeom prst="rect">
              <a:avLst/>
            </a:prstGeom>
            <a:solidFill>
              <a:schemeClr val="accent3">
                <a:lumMod val="50000"/>
              </a:schemeClr>
            </a:solidFill>
            <a:ln w="9525" cmpd="sng">
              <a:solidFill>
                <a:schemeClr val="lt1">
                  <a:shade val="50000"/>
                </a:schemeClr>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fr-FR" sz="1100" b="1">
                  <a:solidFill>
                    <a:schemeClr val="bg1"/>
                  </a:solidFill>
                </a:rPr>
                <a:t>Récapitulatif</a:t>
              </a:r>
              <a:r>
                <a:rPr lang="fr-FR" sz="1100" b="1" baseline="0">
                  <a:solidFill>
                    <a:schemeClr val="bg1"/>
                  </a:solidFill>
                </a:rPr>
                <a:t> de vos prélèvements obligatoires</a:t>
              </a:r>
              <a:endParaRPr lang="fr-FR" sz="1100" b="1">
                <a:solidFill>
                  <a:schemeClr val="bg1"/>
                </a:solidFill>
              </a:endParaRPr>
            </a:p>
          </xdr:txBody>
        </xdr:sp>
        <xdr:sp macro="" textlink="">
          <xdr:nvSpPr>
            <xdr:cNvPr id="633" name="ZoneTexte 632">
              <a:hlinkClick xmlns:r="http://schemas.openxmlformats.org/officeDocument/2006/relationships" r:id="rId5"/>
            </xdr:cNvPr>
            <xdr:cNvSpPr txBox="1"/>
          </xdr:nvSpPr>
          <xdr:spPr>
            <a:xfrm>
              <a:off x="10358437" y="41159670"/>
              <a:ext cx="2124076" cy="491978"/>
            </a:xfrm>
            <a:prstGeom prst="rect">
              <a:avLst/>
            </a:prstGeom>
            <a:solidFill>
              <a:schemeClr val="accent3">
                <a:lumMod val="50000"/>
              </a:schemeClr>
            </a:solidFill>
            <a:ln w="9525" cmpd="sng">
              <a:solidFill>
                <a:schemeClr val="lt1">
                  <a:shade val="50000"/>
                </a:schemeClr>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fr-FR" sz="1100" b="1">
                  <a:solidFill>
                    <a:schemeClr val="bg1"/>
                  </a:solidFill>
                </a:rPr>
                <a:t>Votre équilibre financier</a:t>
              </a:r>
            </a:p>
          </xdr:txBody>
        </xdr:sp>
        <xdr:sp macro="" textlink="">
          <xdr:nvSpPr>
            <xdr:cNvPr id="634" name="ZoneTexte 633"/>
            <xdr:cNvSpPr txBox="1"/>
          </xdr:nvSpPr>
          <xdr:spPr>
            <a:xfrm>
              <a:off x="10506075" y="38860074"/>
              <a:ext cx="1828800" cy="2857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fr-FR" sz="1200" b="1"/>
                <a:t>Exercice individuel</a:t>
              </a:r>
            </a:p>
          </xdr:txBody>
        </xdr:sp>
        <xdr:sp macro="" textlink="">
          <xdr:nvSpPr>
            <xdr:cNvPr id="635" name="ZoneTexte 634">
              <a:hlinkClick xmlns:r="http://schemas.openxmlformats.org/officeDocument/2006/relationships" r:id="rId6"/>
            </xdr:cNvPr>
            <xdr:cNvSpPr txBox="1"/>
          </xdr:nvSpPr>
          <xdr:spPr>
            <a:xfrm>
              <a:off x="10358437" y="41961661"/>
              <a:ext cx="2124076" cy="428625"/>
            </a:xfrm>
            <a:prstGeom prst="rect">
              <a:avLst/>
            </a:prstGeom>
            <a:solidFill>
              <a:schemeClr val="accent6"/>
            </a:solidFill>
            <a:ln w="9525" cmpd="sng">
              <a:solidFill>
                <a:schemeClr val="lt1">
                  <a:shade val="50000"/>
                </a:schemeClr>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fr-FR" sz="1100">
                  <a:solidFill>
                    <a:schemeClr val="bg1"/>
                  </a:solidFill>
                </a:rPr>
                <a:t>Conséquences</a:t>
              </a:r>
              <a:r>
                <a:rPr lang="fr-FR" sz="1100" baseline="0">
                  <a:solidFill>
                    <a:schemeClr val="bg1"/>
                  </a:solidFill>
                </a:rPr>
                <a:t> du passage en SEL</a:t>
              </a:r>
              <a:endParaRPr lang="fr-FR" sz="1100">
                <a:solidFill>
                  <a:schemeClr val="bg1"/>
                </a:solidFill>
              </a:endParaRPr>
            </a:p>
          </xdr:txBody>
        </xdr:sp>
        <xdr:sp macro="" textlink="">
          <xdr:nvSpPr>
            <xdr:cNvPr id="636" name="ZoneTexte 635">
              <a:hlinkClick xmlns:r="http://schemas.openxmlformats.org/officeDocument/2006/relationships" r:id="rId7"/>
            </xdr:cNvPr>
            <xdr:cNvSpPr txBox="1"/>
          </xdr:nvSpPr>
          <xdr:spPr>
            <a:xfrm>
              <a:off x="10358437" y="42409337"/>
              <a:ext cx="2124076" cy="428625"/>
            </a:xfrm>
            <a:prstGeom prst="rect">
              <a:avLst/>
            </a:prstGeom>
            <a:solidFill>
              <a:schemeClr val="accent6"/>
            </a:solidFill>
            <a:ln w="9525" cmpd="sng">
              <a:solidFill>
                <a:schemeClr val="lt1">
                  <a:shade val="50000"/>
                </a:schemeClr>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fr-FR" sz="1100">
                  <a:solidFill>
                    <a:schemeClr val="bg1"/>
                  </a:solidFill>
                </a:rPr>
                <a:t>Les cotisations</a:t>
              </a:r>
              <a:r>
                <a:rPr lang="fr-FR" sz="1100" baseline="0">
                  <a:solidFill>
                    <a:schemeClr val="bg1"/>
                  </a:solidFill>
                </a:rPr>
                <a:t> sociales obligatoires du gérant</a:t>
              </a:r>
              <a:endParaRPr lang="fr-FR" sz="1100">
                <a:solidFill>
                  <a:schemeClr val="bg1"/>
                </a:solidFill>
              </a:endParaRPr>
            </a:p>
          </xdr:txBody>
        </xdr:sp>
        <xdr:sp macro="" textlink="">
          <xdr:nvSpPr>
            <xdr:cNvPr id="637" name="ZoneTexte 636">
              <a:hlinkClick xmlns:r="http://schemas.openxmlformats.org/officeDocument/2006/relationships" r:id="rId8"/>
            </xdr:cNvPr>
            <xdr:cNvSpPr txBox="1"/>
          </xdr:nvSpPr>
          <xdr:spPr>
            <a:xfrm>
              <a:off x="10358437" y="42857012"/>
              <a:ext cx="2124076" cy="419101"/>
            </a:xfrm>
            <a:prstGeom prst="rect">
              <a:avLst/>
            </a:prstGeom>
            <a:solidFill>
              <a:schemeClr val="accent6"/>
            </a:solidFill>
            <a:ln w="9525" cmpd="sng">
              <a:solidFill>
                <a:schemeClr val="lt1">
                  <a:shade val="50000"/>
                </a:schemeClr>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fr-FR" sz="1100">
                  <a:solidFill>
                    <a:schemeClr val="bg1"/>
                  </a:solidFill>
                </a:rPr>
                <a:t>Le compte de résultat</a:t>
              </a:r>
              <a:r>
                <a:rPr lang="fr-FR" sz="1100" baseline="0">
                  <a:solidFill>
                    <a:schemeClr val="bg1"/>
                  </a:solidFill>
                </a:rPr>
                <a:t> </a:t>
              </a:r>
              <a:endParaRPr lang="fr-FR" sz="1100">
                <a:solidFill>
                  <a:schemeClr val="bg1"/>
                </a:solidFill>
              </a:endParaRPr>
            </a:p>
          </xdr:txBody>
        </xdr:sp>
        <xdr:sp macro="" textlink="">
          <xdr:nvSpPr>
            <xdr:cNvPr id="638" name="ZoneTexte 637">
              <a:hlinkClick xmlns:r="http://schemas.openxmlformats.org/officeDocument/2006/relationships" r:id="rId9"/>
            </xdr:cNvPr>
            <xdr:cNvSpPr txBox="1"/>
          </xdr:nvSpPr>
          <xdr:spPr>
            <a:xfrm>
              <a:off x="10358437" y="43295163"/>
              <a:ext cx="2124076" cy="438149"/>
            </a:xfrm>
            <a:prstGeom prst="rect">
              <a:avLst/>
            </a:prstGeom>
            <a:solidFill>
              <a:schemeClr val="accent6"/>
            </a:solidFill>
            <a:ln w="9525" cmpd="sng">
              <a:solidFill>
                <a:schemeClr val="lt1">
                  <a:shade val="50000"/>
                </a:schemeClr>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fr-FR" sz="1100">
                  <a:solidFill>
                    <a:schemeClr val="bg1"/>
                  </a:solidFill>
                </a:rPr>
                <a:t>Imposition</a:t>
              </a:r>
              <a:r>
                <a:rPr lang="fr-FR" sz="1100" baseline="0">
                  <a:solidFill>
                    <a:schemeClr val="bg1"/>
                  </a:solidFill>
                </a:rPr>
                <a:t> personnelle du gérant</a:t>
              </a:r>
              <a:endParaRPr lang="fr-FR" sz="1100">
                <a:solidFill>
                  <a:schemeClr val="bg1"/>
                </a:solidFill>
              </a:endParaRPr>
            </a:p>
          </xdr:txBody>
        </xdr:sp>
        <xdr:sp macro="" textlink="">
          <xdr:nvSpPr>
            <xdr:cNvPr id="639" name="ZoneTexte 638"/>
            <xdr:cNvSpPr txBox="1"/>
          </xdr:nvSpPr>
          <xdr:spPr>
            <a:xfrm>
              <a:off x="10506075" y="41647338"/>
              <a:ext cx="1828800" cy="2857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fr-FR" sz="1200" b="1"/>
                <a:t>Exercice</a:t>
              </a:r>
              <a:r>
                <a:rPr lang="fr-FR" sz="1200" b="1" baseline="0"/>
                <a:t> en SEL</a:t>
              </a:r>
              <a:endParaRPr lang="fr-FR" sz="1200" b="1"/>
            </a:p>
          </xdr:txBody>
        </xdr:sp>
        <xdr:sp macro="" textlink="">
          <xdr:nvSpPr>
            <xdr:cNvPr id="640" name="Rectangle à coins arrondis 639"/>
            <xdr:cNvSpPr/>
          </xdr:nvSpPr>
          <xdr:spPr>
            <a:xfrm>
              <a:off x="10106025" y="38080947"/>
              <a:ext cx="2628900" cy="7719290"/>
            </a:xfrm>
            <a:prstGeom prst="roundRect">
              <a:avLst/>
            </a:prstGeom>
            <a:noFill/>
            <a:ln>
              <a:solidFill>
                <a:schemeClr val="tx2"/>
              </a:solidFill>
            </a:ln>
            <a:effectLst>
              <a:glow rad="63500">
                <a:schemeClr val="bg1">
                  <a:lumMod val="75000"/>
                  <a:alpha val="40000"/>
                </a:schemeClr>
              </a:glo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fr-FR" sz="1000"/>
                <a:t>c</a:t>
              </a:r>
            </a:p>
          </xdr:txBody>
        </xdr:sp>
        <xdr:sp macro="" textlink="">
          <xdr:nvSpPr>
            <xdr:cNvPr id="641" name="ZoneTexte 640">
              <a:hlinkClick xmlns:r="http://schemas.openxmlformats.org/officeDocument/2006/relationships" r:id="rId10"/>
            </xdr:cNvPr>
            <xdr:cNvSpPr txBox="1"/>
          </xdr:nvSpPr>
          <xdr:spPr>
            <a:xfrm>
              <a:off x="10358437" y="43752363"/>
              <a:ext cx="2124076" cy="428625"/>
            </a:xfrm>
            <a:prstGeom prst="rect">
              <a:avLst/>
            </a:prstGeom>
            <a:solidFill>
              <a:schemeClr val="accent6"/>
            </a:solidFill>
            <a:ln w="9525" cmpd="sng">
              <a:solidFill>
                <a:schemeClr val="lt1">
                  <a:shade val="50000"/>
                </a:schemeClr>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fr-FR" sz="1100">
                  <a:solidFill>
                    <a:schemeClr val="bg1"/>
                  </a:solidFill>
                </a:rPr>
                <a:t>Récapitulatif</a:t>
              </a:r>
              <a:r>
                <a:rPr lang="fr-FR" sz="1100" baseline="0">
                  <a:solidFill>
                    <a:schemeClr val="bg1"/>
                  </a:solidFill>
                </a:rPr>
                <a:t> des prélèvements obligatoires</a:t>
              </a:r>
              <a:endParaRPr lang="fr-FR" sz="1100">
                <a:solidFill>
                  <a:schemeClr val="bg1"/>
                </a:solidFill>
              </a:endParaRPr>
            </a:p>
          </xdr:txBody>
        </xdr:sp>
        <xdr:sp macro="" textlink="">
          <xdr:nvSpPr>
            <xdr:cNvPr id="642" name="ZoneTexte 641">
              <a:hlinkClick xmlns:r="http://schemas.openxmlformats.org/officeDocument/2006/relationships" r:id="rId11"/>
            </xdr:cNvPr>
            <xdr:cNvSpPr txBox="1"/>
          </xdr:nvSpPr>
          <xdr:spPr>
            <a:xfrm>
              <a:off x="10358437" y="44200038"/>
              <a:ext cx="2124076" cy="428625"/>
            </a:xfrm>
            <a:prstGeom prst="rect">
              <a:avLst/>
            </a:prstGeom>
            <a:solidFill>
              <a:schemeClr val="accent6"/>
            </a:solidFill>
            <a:ln w="9525" cmpd="sng">
              <a:solidFill>
                <a:schemeClr val="lt1">
                  <a:shade val="50000"/>
                </a:schemeClr>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fr-FR" sz="1100">
                  <a:solidFill>
                    <a:schemeClr val="bg1"/>
                  </a:solidFill>
                </a:rPr>
                <a:t>Equili</a:t>
              </a:r>
              <a:r>
                <a:rPr lang="fr-FR" sz="1100" baseline="0">
                  <a:solidFill>
                    <a:schemeClr val="bg1"/>
                  </a:solidFill>
                </a:rPr>
                <a:t>bre financier</a:t>
              </a:r>
              <a:endParaRPr lang="fr-FR" sz="1100">
                <a:solidFill>
                  <a:schemeClr val="bg1"/>
                </a:solidFill>
              </a:endParaRPr>
            </a:p>
          </xdr:txBody>
        </xdr:sp>
        <xdr:sp macro="" textlink="">
          <xdr:nvSpPr>
            <xdr:cNvPr id="643" name="ZoneTexte 642">
              <a:hlinkClick xmlns:r="http://schemas.openxmlformats.org/officeDocument/2006/relationships" r:id="rId12"/>
            </xdr:cNvPr>
            <xdr:cNvSpPr txBox="1"/>
          </xdr:nvSpPr>
          <xdr:spPr>
            <a:xfrm>
              <a:off x="10358437" y="44647712"/>
              <a:ext cx="2124076" cy="428625"/>
            </a:xfrm>
            <a:prstGeom prst="rect">
              <a:avLst/>
            </a:prstGeom>
            <a:solidFill>
              <a:schemeClr val="accent6"/>
            </a:solidFill>
            <a:ln w="9525" cmpd="sng">
              <a:solidFill>
                <a:schemeClr val="lt1">
                  <a:shade val="50000"/>
                </a:schemeClr>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fr-FR" sz="1100">
                  <a:solidFill>
                    <a:schemeClr val="bg1"/>
                  </a:solidFill>
                </a:rPr>
                <a:t>Revenu</a:t>
              </a:r>
              <a:r>
                <a:rPr lang="fr-FR" sz="1100" baseline="0">
                  <a:solidFill>
                    <a:schemeClr val="bg1"/>
                  </a:solidFill>
                </a:rPr>
                <a:t> disponible personnel</a:t>
              </a:r>
              <a:endParaRPr lang="fr-FR" sz="1100">
                <a:solidFill>
                  <a:schemeClr val="bg1"/>
                </a:solidFill>
              </a:endParaRPr>
            </a:p>
          </xdr:txBody>
        </xdr:sp>
        <xdr:sp macro="" textlink="">
          <xdr:nvSpPr>
            <xdr:cNvPr id="644" name="ZoneTexte 643">
              <a:hlinkClick xmlns:r="http://schemas.openxmlformats.org/officeDocument/2006/relationships" r:id="rId13"/>
            </xdr:cNvPr>
            <xdr:cNvSpPr txBox="1"/>
          </xdr:nvSpPr>
          <xdr:spPr>
            <a:xfrm>
              <a:off x="10358437" y="45266841"/>
              <a:ext cx="2124076" cy="428625"/>
            </a:xfrm>
            <a:prstGeom prst="rect">
              <a:avLst/>
            </a:prstGeom>
            <a:solidFill>
              <a:schemeClr val="tx2"/>
            </a:solidFill>
            <a:ln w="9525" cmpd="sng">
              <a:solidFill>
                <a:schemeClr val="lt1">
                  <a:shade val="50000"/>
                </a:schemeClr>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fr-FR" sz="1200" b="1">
                  <a:solidFill>
                    <a:schemeClr val="tx1"/>
                  </a:solidFill>
                </a:rPr>
                <a:t>Conclusion</a:t>
              </a:r>
            </a:p>
          </xdr:txBody>
        </xdr:sp>
        <xdr:sp macro="" textlink="">
          <xdr:nvSpPr>
            <xdr:cNvPr id="645" name="ZoneTexte 644">
              <a:hlinkClick xmlns:r="http://schemas.openxmlformats.org/officeDocument/2006/relationships" r:id="rId14"/>
            </xdr:cNvPr>
            <xdr:cNvSpPr txBox="1"/>
          </xdr:nvSpPr>
          <xdr:spPr>
            <a:xfrm>
              <a:off x="10363200" y="38347650"/>
              <a:ext cx="2124076" cy="428625"/>
            </a:xfrm>
            <a:prstGeom prst="rect">
              <a:avLst/>
            </a:prstGeom>
            <a:solidFill>
              <a:schemeClr val="tx2"/>
            </a:solidFill>
            <a:ln w="9525" cmpd="sng">
              <a:solidFill>
                <a:schemeClr val="lt1">
                  <a:shade val="50000"/>
                </a:schemeClr>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fr-FR" sz="1200" b="1">
                  <a:solidFill>
                    <a:schemeClr val="tx1"/>
                  </a:solidFill>
                </a:rPr>
                <a:t>Informations Client</a:t>
              </a:r>
            </a:p>
          </xdr:txBody>
        </xdr:sp>
        <xdr:sp macro="" textlink="">
          <xdr:nvSpPr>
            <xdr:cNvPr id="646" name="ZoneTexte 645"/>
            <xdr:cNvSpPr txBox="1"/>
          </xdr:nvSpPr>
          <xdr:spPr>
            <a:xfrm>
              <a:off x="10525125" y="37957125"/>
              <a:ext cx="1828800" cy="2857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fr-FR" sz="1600" b="1" u="sng">
                  <a:solidFill>
                    <a:schemeClr val="tx2"/>
                  </a:solidFill>
                </a:rPr>
                <a:t>Accès direct</a:t>
              </a:r>
            </a:p>
          </xdr:txBody>
        </xdr:sp>
      </xdr:grpSp>
      <xdr:sp macro="" textlink="">
        <xdr:nvSpPr>
          <xdr:cNvPr id="629" name="ZoneTexte 628">
            <a:hlinkClick xmlns:r="http://schemas.openxmlformats.org/officeDocument/2006/relationships" r:id="rId15"/>
          </xdr:cNvPr>
          <xdr:cNvSpPr txBox="1"/>
        </xdr:nvSpPr>
        <xdr:spPr>
          <a:xfrm>
            <a:off x="13425488" y="2345531"/>
            <a:ext cx="2118945" cy="462068"/>
          </a:xfrm>
          <a:prstGeom prst="rect">
            <a:avLst/>
          </a:prstGeom>
          <a:solidFill>
            <a:schemeClr val="accent3">
              <a:lumMod val="50000"/>
            </a:schemeClr>
          </a:solidFill>
          <a:ln w="9525" cmpd="sng">
            <a:solidFill>
              <a:schemeClr val="lt1">
                <a:shade val="50000"/>
              </a:schemeClr>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fr-FR" sz="1100" b="1">
                <a:solidFill>
                  <a:schemeClr val="bg1"/>
                </a:solidFill>
              </a:rPr>
              <a:t>Déclaration</a:t>
            </a:r>
            <a:r>
              <a:rPr lang="fr-FR" sz="1100" b="1" baseline="0">
                <a:solidFill>
                  <a:schemeClr val="bg1"/>
                </a:solidFill>
              </a:rPr>
              <a:t> 2035</a:t>
            </a:r>
            <a:endParaRPr lang="fr-FR" sz="1100" b="1">
              <a:solidFill>
                <a:schemeClr val="bg1"/>
              </a:solidFill>
            </a:endParaRPr>
          </a:p>
        </xdr:txBody>
      </xdr:sp>
    </xdr:grpSp>
    <xdr:clientData/>
  </xdr:twoCellAnchor>
  <xdr:twoCellAnchor>
    <xdr:from>
      <xdr:col>13</xdr:col>
      <xdr:colOff>238120</xdr:colOff>
      <xdr:row>271</xdr:row>
      <xdr:rowOff>0</xdr:rowOff>
    </xdr:from>
    <xdr:to>
      <xdr:col>16</xdr:col>
      <xdr:colOff>574670</xdr:colOff>
      <xdr:row>302</xdr:row>
      <xdr:rowOff>29367</xdr:rowOff>
    </xdr:to>
    <xdr:grpSp>
      <xdr:nvGrpSpPr>
        <xdr:cNvPr id="647" name="Groupe 646"/>
        <xdr:cNvGrpSpPr/>
      </xdr:nvGrpSpPr>
      <xdr:grpSpPr>
        <a:xfrm>
          <a:off x="13346901" y="60745688"/>
          <a:ext cx="2622550" cy="7399335"/>
          <a:chOff x="13173605" y="1266030"/>
          <a:chExt cx="2622550" cy="7399336"/>
        </a:xfrm>
      </xdr:grpSpPr>
      <xdr:grpSp>
        <xdr:nvGrpSpPr>
          <xdr:cNvPr id="648" name="Groupe 170"/>
          <xdr:cNvGrpSpPr/>
        </xdr:nvGrpSpPr>
        <xdr:grpSpPr>
          <a:xfrm>
            <a:off x="13173605" y="1266018"/>
            <a:ext cx="2622550" cy="7399334"/>
            <a:chOff x="10106025" y="37957125"/>
            <a:chExt cx="2628900" cy="7843112"/>
          </a:xfrm>
        </xdr:grpSpPr>
        <xdr:sp macro="" textlink="">
          <xdr:nvSpPr>
            <xdr:cNvPr id="650" name="ZoneTexte 649">
              <a:hlinkClick xmlns:r="http://schemas.openxmlformats.org/officeDocument/2006/relationships" r:id="rId2"/>
            </xdr:cNvPr>
            <xdr:cNvSpPr txBox="1"/>
          </xdr:nvSpPr>
          <xdr:spPr>
            <a:xfrm>
              <a:off x="10358437" y="39615312"/>
              <a:ext cx="2124076" cy="491978"/>
            </a:xfrm>
            <a:prstGeom prst="rect">
              <a:avLst/>
            </a:prstGeom>
            <a:solidFill>
              <a:schemeClr val="accent3">
                <a:lumMod val="50000"/>
              </a:schemeClr>
            </a:solidFill>
            <a:ln w="9525" cmpd="sng">
              <a:solidFill>
                <a:schemeClr val="lt1">
                  <a:shade val="50000"/>
                </a:schemeClr>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fr-FR" sz="1100" b="1">
                  <a:solidFill>
                    <a:schemeClr val="bg1"/>
                  </a:solidFill>
                </a:rPr>
                <a:t>Vos cotisations</a:t>
              </a:r>
              <a:r>
                <a:rPr lang="fr-FR" sz="1100" b="1" baseline="0">
                  <a:solidFill>
                    <a:schemeClr val="bg1"/>
                  </a:solidFill>
                </a:rPr>
                <a:t> obligatoires</a:t>
              </a:r>
              <a:endParaRPr lang="fr-FR" sz="1100" b="1">
                <a:solidFill>
                  <a:schemeClr val="bg1"/>
                </a:solidFill>
              </a:endParaRPr>
            </a:p>
          </xdr:txBody>
        </xdr:sp>
        <xdr:sp macro="" textlink="">
          <xdr:nvSpPr>
            <xdr:cNvPr id="651" name="ZoneTexte 650">
              <a:hlinkClick xmlns:r="http://schemas.openxmlformats.org/officeDocument/2006/relationships" r:id="rId3"/>
            </xdr:cNvPr>
            <xdr:cNvSpPr txBox="1"/>
          </xdr:nvSpPr>
          <xdr:spPr>
            <a:xfrm>
              <a:off x="10358437" y="40137296"/>
              <a:ext cx="2124076" cy="491978"/>
            </a:xfrm>
            <a:prstGeom prst="rect">
              <a:avLst/>
            </a:prstGeom>
            <a:solidFill>
              <a:schemeClr val="accent3">
                <a:lumMod val="50000"/>
              </a:schemeClr>
            </a:solidFill>
            <a:ln w="9525" cmpd="sng">
              <a:solidFill>
                <a:schemeClr val="lt1">
                  <a:shade val="50000"/>
                </a:schemeClr>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fr-FR" sz="1100" b="1">
                  <a:solidFill>
                    <a:schemeClr val="bg1"/>
                  </a:solidFill>
                </a:rPr>
                <a:t>Votre</a:t>
              </a:r>
              <a:r>
                <a:rPr lang="fr-FR" sz="1100" b="1" baseline="0">
                  <a:solidFill>
                    <a:schemeClr val="bg1"/>
                  </a:solidFill>
                </a:rPr>
                <a:t> impôt sur le revenu</a:t>
              </a:r>
              <a:endParaRPr lang="fr-FR" sz="1100" b="1">
                <a:solidFill>
                  <a:schemeClr val="bg1"/>
                </a:solidFill>
              </a:endParaRPr>
            </a:p>
          </xdr:txBody>
        </xdr:sp>
        <xdr:sp macro="" textlink="">
          <xdr:nvSpPr>
            <xdr:cNvPr id="652" name="ZoneTexte 651">
              <a:hlinkClick xmlns:r="http://schemas.openxmlformats.org/officeDocument/2006/relationships" r:id="rId4"/>
            </xdr:cNvPr>
            <xdr:cNvSpPr txBox="1"/>
          </xdr:nvSpPr>
          <xdr:spPr>
            <a:xfrm>
              <a:off x="10358437" y="40659280"/>
              <a:ext cx="2124076" cy="491978"/>
            </a:xfrm>
            <a:prstGeom prst="rect">
              <a:avLst/>
            </a:prstGeom>
            <a:solidFill>
              <a:schemeClr val="accent3">
                <a:lumMod val="50000"/>
              </a:schemeClr>
            </a:solidFill>
            <a:ln w="9525" cmpd="sng">
              <a:solidFill>
                <a:schemeClr val="lt1">
                  <a:shade val="50000"/>
                </a:schemeClr>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fr-FR" sz="1100" b="1">
                  <a:solidFill>
                    <a:schemeClr val="bg1"/>
                  </a:solidFill>
                </a:rPr>
                <a:t>Récapitulatif</a:t>
              </a:r>
              <a:r>
                <a:rPr lang="fr-FR" sz="1100" b="1" baseline="0">
                  <a:solidFill>
                    <a:schemeClr val="bg1"/>
                  </a:solidFill>
                </a:rPr>
                <a:t> de vos prélèvements obligatoires</a:t>
              </a:r>
              <a:endParaRPr lang="fr-FR" sz="1100" b="1">
                <a:solidFill>
                  <a:schemeClr val="bg1"/>
                </a:solidFill>
              </a:endParaRPr>
            </a:p>
          </xdr:txBody>
        </xdr:sp>
        <xdr:sp macro="" textlink="">
          <xdr:nvSpPr>
            <xdr:cNvPr id="653" name="ZoneTexte 652">
              <a:hlinkClick xmlns:r="http://schemas.openxmlformats.org/officeDocument/2006/relationships" r:id="rId5"/>
            </xdr:cNvPr>
            <xdr:cNvSpPr txBox="1"/>
          </xdr:nvSpPr>
          <xdr:spPr>
            <a:xfrm>
              <a:off x="10358437" y="41159670"/>
              <a:ext cx="2124076" cy="491978"/>
            </a:xfrm>
            <a:prstGeom prst="rect">
              <a:avLst/>
            </a:prstGeom>
            <a:solidFill>
              <a:schemeClr val="accent3">
                <a:lumMod val="50000"/>
              </a:schemeClr>
            </a:solidFill>
            <a:ln w="9525" cmpd="sng">
              <a:solidFill>
                <a:schemeClr val="lt1">
                  <a:shade val="50000"/>
                </a:schemeClr>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fr-FR" sz="1100" b="1">
                  <a:solidFill>
                    <a:schemeClr val="bg1"/>
                  </a:solidFill>
                </a:rPr>
                <a:t>Votre équilibre financier</a:t>
              </a:r>
            </a:p>
          </xdr:txBody>
        </xdr:sp>
        <xdr:sp macro="" textlink="">
          <xdr:nvSpPr>
            <xdr:cNvPr id="654" name="ZoneTexte 653"/>
            <xdr:cNvSpPr txBox="1"/>
          </xdr:nvSpPr>
          <xdr:spPr>
            <a:xfrm>
              <a:off x="10506075" y="38860074"/>
              <a:ext cx="1828800" cy="2857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fr-FR" sz="1200" b="1"/>
                <a:t>Exercice individuel</a:t>
              </a:r>
            </a:p>
          </xdr:txBody>
        </xdr:sp>
        <xdr:sp macro="" textlink="">
          <xdr:nvSpPr>
            <xdr:cNvPr id="655" name="ZoneTexte 654">
              <a:hlinkClick xmlns:r="http://schemas.openxmlformats.org/officeDocument/2006/relationships" r:id="rId6"/>
            </xdr:cNvPr>
            <xdr:cNvSpPr txBox="1"/>
          </xdr:nvSpPr>
          <xdr:spPr>
            <a:xfrm>
              <a:off x="10358437" y="41961661"/>
              <a:ext cx="2124076" cy="428625"/>
            </a:xfrm>
            <a:prstGeom prst="rect">
              <a:avLst/>
            </a:prstGeom>
            <a:solidFill>
              <a:schemeClr val="accent6"/>
            </a:solidFill>
            <a:ln w="9525" cmpd="sng">
              <a:solidFill>
                <a:schemeClr val="lt1">
                  <a:shade val="50000"/>
                </a:schemeClr>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fr-FR" sz="1100">
                  <a:solidFill>
                    <a:schemeClr val="bg1"/>
                  </a:solidFill>
                </a:rPr>
                <a:t>Conséquences</a:t>
              </a:r>
              <a:r>
                <a:rPr lang="fr-FR" sz="1100" baseline="0">
                  <a:solidFill>
                    <a:schemeClr val="bg1"/>
                  </a:solidFill>
                </a:rPr>
                <a:t> du passage en SEL</a:t>
              </a:r>
              <a:endParaRPr lang="fr-FR" sz="1100">
                <a:solidFill>
                  <a:schemeClr val="bg1"/>
                </a:solidFill>
              </a:endParaRPr>
            </a:p>
          </xdr:txBody>
        </xdr:sp>
        <xdr:sp macro="" textlink="">
          <xdr:nvSpPr>
            <xdr:cNvPr id="656" name="ZoneTexte 655">
              <a:hlinkClick xmlns:r="http://schemas.openxmlformats.org/officeDocument/2006/relationships" r:id="rId7"/>
            </xdr:cNvPr>
            <xdr:cNvSpPr txBox="1"/>
          </xdr:nvSpPr>
          <xdr:spPr>
            <a:xfrm>
              <a:off x="10358437" y="42409337"/>
              <a:ext cx="2124076" cy="428625"/>
            </a:xfrm>
            <a:prstGeom prst="rect">
              <a:avLst/>
            </a:prstGeom>
            <a:solidFill>
              <a:schemeClr val="accent6"/>
            </a:solidFill>
            <a:ln w="9525" cmpd="sng">
              <a:solidFill>
                <a:schemeClr val="lt1">
                  <a:shade val="50000"/>
                </a:schemeClr>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fr-FR" sz="1100">
                  <a:solidFill>
                    <a:schemeClr val="bg1"/>
                  </a:solidFill>
                </a:rPr>
                <a:t>Les cotisations</a:t>
              </a:r>
              <a:r>
                <a:rPr lang="fr-FR" sz="1100" baseline="0">
                  <a:solidFill>
                    <a:schemeClr val="bg1"/>
                  </a:solidFill>
                </a:rPr>
                <a:t> sociales obligatoires du gérant</a:t>
              </a:r>
              <a:endParaRPr lang="fr-FR" sz="1100">
                <a:solidFill>
                  <a:schemeClr val="bg1"/>
                </a:solidFill>
              </a:endParaRPr>
            </a:p>
          </xdr:txBody>
        </xdr:sp>
        <xdr:sp macro="" textlink="">
          <xdr:nvSpPr>
            <xdr:cNvPr id="657" name="ZoneTexte 656">
              <a:hlinkClick xmlns:r="http://schemas.openxmlformats.org/officeDocument/2006/relationships" r:id="rId8"/>
            </xdr:cNvPr>
            <xdr:cNvSpPr txBox="1"/>
          </xdr:nvSpPr>
          <xdr:spPr>
            <a:xfrm>
              <a:off x="10358437" y="42857012"/>
              <a:ext cx="2124076" cy="419101"/>
            </a:xfrm>
            <a:prstGeom prst="rect">
              <a:avLst/>
            </a:prstGeom>
            <a:solidFill>
              <a:schemeClr val="accent6"/>
            </a:solidFill>
            <a:ln w="9525" cmpd="sng">
              <a:solidFill>
                <a:schemeClr val="lt1">
                  <a:shade val="50000"/>
                </a:schemeClr>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fr-FR" sz="1100">
                  <a:solidFill>
                    <a:schemeClr val="bg1"/>
                  </a:solidFill>
                </a:rPr>
                <a:t>Le compte de résultat</a:t>
              </a:r>
              <a:r>
                <a:rPr lang="fr-FR" sz="1100" baseline="0">
                  <a:solidFill>
                    <a:schemeClr val="bg1"/>
                  </a:solidFill>
                </a:rPr>
                <a:t> </a:t>
              </a:r>
              <a:endParaRPr lang="fr-FR" sz="1100">
                <a:solidFill>
                  <a:schemeClr val="bg1"/>
                </a:solidFill>
              </a:endParaRPr>
            </a:p>
          </xdr:txBody>
        </xdr:sp>
        <xdr:sp macro="" textlink="">
          <xdr:nvSpPr>
            <xdr:cNvPr id="658" name="ZoneTexte 657">
              <a:hlinkClick xmlns:r="http://schemas.openxmlformats.org/officeDocument/2006/relationships" r:id="rId9"/>
            </xdr:cNvPr>
            <xdr:cNvSpPr txBox="1"/>
          </xdr:nvSpPr>
          <xdr:spPr>
            <a:xfrm>
              <a:off x="10358437" y="43295163"/>
              <a:ext cx="2124076" cy="438149"/>
            </a:xfrm>
            <a:prstGeom prst="rect">
              <a:avLst/>
            </a:prstGeom>
            <a:solidFill>
              <a:schemeClr val="accent6"/>
            </a:solidFill>
            <a:ln w="9525" cmpd="sng">
              <a:solidFill>
                <a:schemeClr val="lt1">
                  <a:shade val="50000"/>
                </a:schemeClr>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fr-FR" sz="1100">
                  <a:solidFill>
                    <a:schemeClr val="bg1"/>
                  </a:solidFill>
                </a:rPr>
                <a:t>Imposition</a:t>
              </a:r>
              <a:r>
                <a:rPr lang="fr-FR" sz="1100" baseline="0">
                  <a:solidFill>
                    <a:schemeClr val="bg1"/>
                  </a:solidFill>
                </a:rPr>
                <a:t> personnelle du gérant</a:t>
              </a:r>
              <a:endParaRPr lang="fr-FR" sz="1100">
                <a:solidFill>
                  <a:schemeClr val="bg1"/>
                </a:solidFill>
              </a:endParaRPr>
            </a:p>
          </xdr:txBody>
        </xdr:sp>
        <xdr:sp macro="" textlink="">
          <xdr:nvSpPr>
            <xdr:cNvPr id="659" name="ZoneTexte 658"/>
            <xdr:cNvSpPr txBox="1"/>
          </xdr:nvSpPr>
          <xdr:spPr>
            <a:xfrm>
              <a:off x="10506075" y="41647338"/>
              <a:ext cx="1828800" cy="2857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fr-FR" sz="1200" b="1"/>
                <a:t>Exercice</a:t>
              </a:r>
              <a:r>
                <a:rPr lang="fr-FR" sz="1200" b="1" baseline="0"/>
                <a:t> en SEL</a:t>
              </a:r>
              <a:endParaRPr lang="fr-FR" sz="1200" b="1"/>
            </a:p>
          </xdr:txBody>
        </xdr:sp>
        <xdr:sp macro="" textlink="">
          <xdr:nvSpPr>
            <xdr:cNvPr id="660" name="Rectangle à coins arrondis 659"/>
            <xdr:cNvSpPr/>
          </xdr:nvSpPr>
          <xdr:spPr>
            <a:xfrm>
              <a:off x="10106025" y="38080947"/>
              <a:ext cx="2628900" cy="7719290"/>
            </a:xfrm>
            <a:prstGeom prst="roundRect">
              <a:avLst/>
            </a:prstGeom>
            <a:noFill/>
            <a:ln>
              <a:solidFill>
                <a:schemeClr val="tx2"/>
              </a:solidFill>
            </a:ln>
            <a:effectLst>
              <a:glow rad="63500">
                <a:schemeClr val="bg1">
                  <a:lumMod val="75000"/>
                  <a:alpha val="40000"/>
                </a:schemeClr>
              </a:glo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fr-FR" sz="1000"/>
                <a:t>c</a:t>
              </a:r>
            </a:p>
          </xdr:txBody>
        </xdr:sp>
        <xdr:sp macro="" textlink="">
          <xdr:nvSpPr>
            <xdr:cNvPr id="661" name="ZoneTexte 660">
              <a:hlinkClick xmlns:r="http://schemas.openxmlformats.org/officeDocument/2006/relationships" r:id="rId10"/>
            </xdr:cNvPr>
            <xdr:cNvSpPr txBox="1"/>
          </xdr:nvSpPr>
          <xdr:spPr>
            <a:xfrm>
              <a:off x="10358437" y="43752363"/>
              <a:ext cx="2124076" cy="428625"/>
            </a:xfrm>
            <a:prstGeom prst="rect">
              <a:avLst/>
            </a:prstGeom>
            <a:solidFill>
              <a:schemeClr val="accent6"/>
            </a:solidFill>
            <a:ln w="9525" cmpd="sng">
              <a:solidFill>
                <a:schemeClr val="lt1">
                  <a:shade val="50000"/>
                </a:schemeClr>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fr-FR" sz="1100">
                  <a:solidFill>
                    <a:schemeClr val="bg1"/>
                  </a:solidFill>
                </a:rPr>
                <a:t>Récapitulatif</a:t>
              </a:r>
              <a:r>
                <a:rPr lang="fr-FR" sz="1100" baseline="0">
                  <a:solidFill>
                    <a:schemeClr val="bg1"/>
                  </a:solidFill>
                </a:rPr>
                <a:t> des prélèvements obligatoires</a:t>
              </a:r>
              <a:endParaRPr lang="fr-FR" sz="1100">
                <a:solidFill>
                  <a:schemeClr val="bg1"/>
                </a:solidFill>
              </a:endParaRPr>
            </a:p>
          </xdr:txBody>
        </xdr:sp>
        <xdr:sp macro="" textlink="">
          <xdr:nvSpPr>
            <xdr:cNvPr id="662" name="ZoneTexte 661">
              <a:hlinkClick xmlns:r="http://schemas.openxmlformats.org/officeDocument/2006/relationships" r:id="rId11"/>
            </xdr:cNvPr>
            <xdr:cNvSpPr txBox="1"/>
          </xdr:nvSpPr>
          <xdr:spPr>
            <a:xfrm>
              <a:off x="10358437" y="44200038"/>
              <a:ext cx="2124076" cy="428625"/>
            </a:xfrm>
            <a:prstGeom prst="rect">
              <a:avLst/>
            </a:prstGeom>
            <a:solidFill>
              <a:schemeClr val="accent6"/>
            </a:solidFill>
            <a:ln w="9525" cmpd="sng">
              <a:solidFill>
                <a:schemeClr val="lt1">
                  <a:shade val="50000"/>
                </a:schemeClr>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fr-FR" sz="1100">
                  <a:solidFill>
                    <a:schemeClr val="bg1"/>
                  </a:solidFill>
                </a:rPr>
                <a:t>Equili</a:t>
              </a:r>
              <a:r>
                <a:rPr lang="fr-FR" sz="1100" baseline="0">
                  <a:solidFill>
                    <a:schemeClr val="bg1"/>
                  </a:solidFill>
                </a:rPr>
                <a:t>bre financier</a:t>
              </a:r>
              <a:endParaRPr lang="fr-FR" sz="1100">
                <a:solidFill>
                  <a:schemeClr val="bg1"/>
                </a:solidFill>
              </a:endParaRPr>
            </a:p>
          </xdr:txBody>
        </xdr:sp>
        <xdr:sp macro="" textlink="">
          <xdr:nvSpPr>
            <xdr:cNvPr id="663" name="ZoneTexte 662">
              <a:hlinkClick xmlns:r="http://schemas.openxmlformats.org/officeDocument/2006/relationships" r:id="rId12"/>
            </xdr:cNvPr>
            <xdr:cNvSpPr txBox="1"/>
          </xdr:nvSpPr>
          <xdr:spPr>
            <a:xfrm>
              <a:off x="10358437" y="44647712"/>
              <a:ext cx="2124076" cy="428625"/>
            </a:xfrm>
            <a:prstGeom prst="rect">
              <a:avLst/>
            </a:prstGeom>
            <a:solidFill>
              <a:schemeClr val="accent6"/>
            </a:solidFill>
            <a:ln w="9525" cmpd="sng">
              <a:solidFill>
                <a:schemeClr val="lt1">
                  <a:shade val="50000"/>
                </a:schemeClr>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fr-FR" sz="1100">
                  <a:solidFill>
                    <a:schemeClr val="bg1"/>
                  </a:solidFill>
                </a:rPr>
                <a:t>Revenu</a:t>
              </a:r>
              <a:r>
                <a:rPr lang="fr-FR" sz="1100" baseline="0">
                  <a:solidFill>
                    <a:schemeClr val="bg1"/>
                  </a:solidFill>
                </a:rPr>
                <a:t> disponible personnel</a:t>
              </a:r>
              <a:endParaRPr lang="fr-FR" sz="1100">
                <a:solidFill>
                  <a:schemeClr val="bg1"/>
                </a:solidFill>
              </a:endParaRPr>
            </a:p>
          </xdr:txBody>
        </xdr:sp>
        <xdr:sp macro="" textlink="">
          <xdr:nvSpPr>
            <xdr:cNvPr id="664" name="ZoneTexte 663">
              <a:hlinkClick xmlns:r="http://schemas.openxmlformats.org/officeDocument/2006/relationships" r:id="rId13"/>
            </xdr:cNvPr>
            <xdr:cNvSpPr txBox="1"/>
          </xdr:nvSpPr>
          <xdr:spPr>
            <a:xfrm>
              <a:off x="10358437" y="45266841"/>
              <a:ext cx="2124076" cy="428625"/>
            </a:xfrm>
            <a:prstGeom prst="rect">
              <a:avLst/>
            </a:prstGeom>
            <a:solidFill>
              <a:schemeClr val="tx2"/>
            </a:solidFill>
            <a:ln w="9525" cmpd="sng">
              <a:solidFill>
                <a:schemeClr val="lt1">
                  <a:shade val="50000"/>
                </a:schemeClr>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fr-FR" sz="1200" b="1">
                  <a:solidFill>
                    <a:schemeClr val="tx1"/>
                  </a:solidFill>
                </a:rPr>
                <a:t>Conclusion</a:t>
              </a:r>
            </a:p>
          </xdr:txBody>
        </xdr:sp>
        <xdr:sp macro="" textlink="">
          <xdr:nvSpPr>
            <xdr:cNvPr id="665" name="ZoneTexte 664">
              <a:hlinkClick xmlns:r="http://schemas.openxmlformats.org/officeDocument/2006/relationships" r:id="rId14"/>
            </xdr:cNvPr>
            <xdr:cNvSpPr txBox="1"/>
          </xdr:nvSpPr>
          <xdr:spPr>
            <a:xfrm>
              <a:off x="10363200" y="38347650"/>
              <a:ext cx="2124076" cy="428625"/>
            </a:xfrm>
            <a:prstGeom prst="rect">
              <a:avLst/>
            </a:prstGeom>
            <a:solidFill>
              <a:schemeClr val="tx2"/>
            </a:solidFill>
            <a:ln w="9525" cmpd="sng">
              <a:solidFill>
                <a:schemeClr val="lt1">
                  <a:shade val="50000"/>
                </a:schemeClr>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fr-FR" sz="1200" b="1">
                  <a:solidFill>
                    <a:schemeClr val="tx1"/>
                  </a:solidFill>
                </a:rPr>
                <a:t>Informations Client</a:t>
              </a:r>
            </a:p>
          </xdr:txBody>
        </xdr:sp>
        <xdr:sp macro="" textlink="">
          <xdr:nvSpPr>
            <xdr:cNvPr id="666" name="ZoneTexte 665"/>
            <xdr:cNvSpPr txBox="1"/>
          </xdr:nvSpPr>
          <xdr:spPr>
            <a:xfrm>
              <a:off x="10525125" y="37957125"/>
              <a:ext cx="1828800" cy="2857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fr-FR" sz="1600" b="1" u="sng">
                  <a:solidFill>
                    <a:schemeClr val="tx2"/>
                  </a:solidFill>
                </a:rPr>
                <a:t>Accès direct</a:t>
              </a:r>
            </a:p>
          </xdr:txBody>
        </xdr:sp>
      </xdr:grpSp>
      <xdr:sp macro="" textlink="">
        <xdr:nvSpPr>
          <xdr:cNvPr id="649" name="ZoneTexte 648">
            <a:hlinkClick xmlns:r="http://schemas.openxmlformats.org/officeDocument/2006/relationships" r:id="rId15"/>
          </xdr:cNvPr>
          <xdr:cNvSpPr txBox="1"/>
        </xdr:nvSpPr>
        <xdr:spPr>
          <a:xfrm>
            <a:off x="13425488" y="2345531"/>
            <a:ext cx="2118945" cy="462068"/>
          </a:xfrm>
          <a:prstGeom prst="rect">
            <a:avLst/>
          </a:prstGeom>
          <a:solidFill>
            <a:schemeClr val="accent3">
              <a:lumMod val="50000"/>
            </a:schemeClr>
          </a:solidFill>
          <a:ln w="9525" cmpd="sng">
            <a:solidFill>
              <a:schemeClr val="lt1">
                <a:shade val="50000"/>
              </a:schemeClr>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fr-FR" sz="1100" b="1">
                <a:solidFill>
                  <a:schemeClr val="bg1"/>
                </a:solidFill>
              </a:rPr>
              <a:t>Déclaration</a:t>
            </a:r>
            <a:r>
              <a:rPr lang="fr-FR" sz="1100" b="1" baseline="0">
                <a:solidFill>
                  <a:schemeClr val="bg1"/>
                </a:solidFill>
              </a:rPr>
              <a:t> 2035</a:t>
            </a:r>
            <a:endParaRPr lang="fr-FR" sz="1100" b="1">
              <a:solidFill>
                <a:schemeClr val="bg1"/>
              </a:solidFill>
            </a:endParaRPr>
          </a:p>
        </xdr:txBody>
      </xdr:sp>
    </xdr:grpSp>
    <xdr:clientData/>
  </xdr:twoCellAnchor>
  <xdr:twoCellAnchor>
    <xdr:from>
      <xdr:col>13</xdr:col>
      <xdr:colOff>238120</xdr:colOff>
      <xdr:row>395</xdr:row>
      <xdr:rowOff>0</xdr:rowOff>
    </xdr:from>
    <xdr:to>
      <xdr:col>16</xdr:col>
      <xdr:colOff>574670</xdr:colOff>
      <xdr:row>429</xdr:row>
      <xdr:rowOff>65086</xdr:rowOff>
    </xdr:to>
    <xdr:grpSp>
      <xdr:nvGrpSpPr>
        <xdr:cNvPr id="667" name="Groupe 666"/>
        <xdr:cNvGrpSpPr/>
      </xdr:nvGrpSpPr>
      <xdr:grpSpPr>
        <a:xfrm>
          <a:off x="13346901" y="87213281"/>
          <a:ext cx="2622550" cy="7399336"/>
          <a:chOff x="13173605" y="1266030"/>
          <a:chExt cx="2622550" cy="7399336"/>
        </a:xfrm>
      </xdr:grpSpPr>
      <xdr:grpSp>
        <xdr:nvGrpSpPr>
          <xdr:cNvPr id="668" name="Groupe 170"/>
          <xdr:cNvGrpSpPr/>
        </xdr:nvGrpSpPr>
        <xdr:grpSpPr>
          <a:xfrm>
            <a:off x="13173605" y="1266018"/>
            <a:ext cx="2622550" cy="7399334"/>
            <a:chOff x="10106025" y="37957125"/>
            <a:chExt cx="2628900" cy="7843112"/>
          </a:xfrm>
        </xdr:grpSpPr>
        <xdr:sp macro="" textlink="">
          <xdr:nvSpPr>
            <xdr:cNvPr id="670" name="ZoneTexte 669">
              <a:hlinkClick xmlns:r="http://schemas.openxmlformats.org/officeDocument/2006/relationships" r:id="rId2"/>
            </xdr:cNvPr>
            <xdr:cNvSpPr txBox="1"/>
          </xdr:nvSpPr>
          <xdr:spPr>
            <a:xfrm>
              <a:off x="10358437" y="39615312"/>
              <a:ext cx="2124076" cy="491978"/>
            </a:xfrm>
            <a:prstGeom prst="rect">
              <a:avLst/>
            </a:prstGeom>
            <a:solidFill>
              <a:schemeClr val="accent3">
                <a:lumMod val="50000"/>
              </a:schemeClr>
            </a:solidFill>
            <a:ln w="9525" cmpd="sng">
              <a:solidFill>
                <a:schemeClr val="lt1">
                  <a:shade val="50000"/>
                </a:schemeClr>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fr-FR" sz="1100" b="1">
                  <a:solidFill>
                    <a:schemeClr val="bg1"/>
                  </a:solidFill>
                </a:rPr>
                <a:t>Vos cotisations</a:t>
              </a:r>
              <a:r>
                <a:rPr lang="fr-FR" sz="1100" b="1" baseline="0">
                  <a:solidFill>
                    <a:schemeClr val="bg1"/>
                  </a:solidFill>
                </a:rPr>
                <a:t> obligatoires</a:t>
              </a:r>
              <a:endParaRPr lang="fr-FR" sz="1100" b="1">
                <a:solidFill>
                  <a:schemeClr val="bg1"/>
                </a:solidFill>
              </a:endParaRPr>
            </a:p>
          </xdr:txBody>
        </xdr:sp>
        <xdr:sp macro="" textlink="">
          <xdr:nvSpPr>
            <xdr:cNvPr id="671" name="ZoneTexte 670">
              <a:hlinkClick xmlns:r="http://schemas.openxmlformats.org/officeDocument/2006/relationships" r:id="rId3"/>
            </xdr:cNvPr>
            <xdr:cNvSpPr txBox="1"/>
          </xdr:nvSpPr>
          <xdr:spPr>
            <a:xfrm>
              <a:off x="10358437" y="40137296"/>
              <a:ext cx="2124076" cy="491978"/>
            </a:xfrm>
            <a:prstGeom prst="rect">
              <a:avLst/>
            </a:prstGeom>
            <a:solidFill>
              <a:schemeClr val="accent3">
                <a:lumMod val="50000"/>
              </a:schemeClr>
            </a:solidFill>
            <a:ln w="9525" cmpd="sng">
              <a:solidFill>
                <a:schemeClr val="lt1">
                  <a:shade val="50000"/>
                </a:schemeClr>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fr-FR" sz="1100" b="1">
                  <a:solidFill>
                    <a:schemeClr val="bg1"/>
                  </a:solidFill>
                </a:rPr>
                <a:t>Votre</a:t>
              </a:r>
              <a:r>
                <a:rPr lang="fr-FR" sz="1100" b="1" baseline="0">
                  <a:solidFill>
                    <a:schemeClr val="bg1"/>
                  </a:solidFill>
                </a:rPr>
                <a:t> impôt sur le revenu</a:t>
              </a:r>
              <a:endParaRPr lang="fr-FR" sz="1100" b="1">
                <a:solidFill>
                  <a:schemeClr val="bg1"/>
                </a:solidFill>
              </a:endParaRPr>
            </a:p>
          </xdr:txBody>
        </xdr:sp>
        <xdr:sp macro="" textlink="">
          <xdr:nvSpPr>
            <xdr:cNvPr id="672" name="ZoneTexte 671">
              <a:hlinkClick xmlns:r="http://schemas.openxmlformats.org/officeDocument/2006/relationships" r:id="rId4"/>
            </xdr:cNvPr>
            <xdr:cNvSpPr txBox="1"/>
          </xdr:nvSpPr>
          <xdr:spPr>
            <a:xfrm>
              <a:off x="10358437" y="40659280"/>
              <a:ext cx="2124076" cy="491978"/>
            </a:xfrm>
            <a:prstGeom prst="rect">
              <a:avLst/>
            </a:prstGeom>
            <a:solidFill>
              <a:schemeClr val="accent3">
                <a:lumMod val="50000"/>
              </a:schemeClr>
            </a:solidFill>
            <a:ln w="9525" cmpd="sng">
              <a:solidFill>
                <a:schemeClr val="lt1">
                  <a:shade val="50000"/>
                </a:schemeClr>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fr-FR" sz="1100" b="1">
                  <a:solidFill>
                    <a:schemeClr val="bg1"/>
                  </a:solidFill>
                </a:rPr>
                <a:t>Récapitulatif</a:t>
              </a:r>
              <a:r>
                <a:rPr lang="fr-FR" sz="1100" b="1" baseline="0">
                  <a:solidFill>
                    <a:schemeClr val="bg1"/>
                  </a:solidFill>
                </a:rPr>
                <a:t> de vos prélèvements obligatoires</a:t>
              </a:r>
              <a:endParaRPr lang="fr-FR" sz="1100" b="1">
                <a:solidFill>
                  <a:schemeClr val="bg1"/>
                </a:solidFill>
              </a:endParaRPr>
            </a:p>
          </xdr:txBody>
        </xdr:sp>
        <xdr:sp macro="" textlink="">
          <xdr:nvSpPr>
            <xdr:cNvPr id="673" name="ZoneTexte 672">
              <a:hlinkClick xmlns:r="http://schemas.openxmlformats.org/officeDocument/2006/relationships" r:id="rId5"/>
            </xdr:cNvPr>
            <xdr:cNvSpPr txBox="1"/>
          </xdr:nvSpPr>
          <xdr:spPr>
            <a:xfrm>
              <a:off x="10358437" y="41159670"/>
              <a:ext cx="2124076" cy="491978"/>
            </a:xfrm>
            <a:prstGeom prst="rect">
              <a:avLst/>
            </a:prstGeom>
            <a:solidFill>
              <a:schemeClr val="accent3">
                <a:lumMod val="50000"/>
              </a:schemeClr>
            </a:solidFill>
            <a:ln w="9525" cmpd="sng">
              <a:solidFill>
                <a:schemeClr val="lt1">
                  <a:shade val="50000"/>
                </a:schemeClr>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fr-FR" sz="1100" b="1">
                  <a:solidFill>
                    <a:schemeClr val="bg1"/>
                  </a:solidFill>
                </a:rPr>
                <a:t>Votre équilibre financier</a:t>
              </a:r>
            </a:p>
          </xdr:txBody>
        </xdr:sp>
        <xdr:sp macro="" textlink="">
          <xdr:nvSpPr>
            <xdr:cNvPr id="674" name="ZoneTexte 673"/>
            <xdr:cNvSpPr txBox="1"/>
          </xdr:nvSpPr>
          <xdr:spPr>
            <a:xfrm>
              <a:off x="10506075" y="38860074"/>
              <a:ext cx="1828800" cy="2857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fr-FR" sz="1200" b="1"/>
                <a:t>Exercice individuel</a:t>
              </a:r>
            </a:p>
          </xdr:txBody>
        </xdr:sp>
        <xdr:sp macro="" textlink="">
          <xdr:nvSpPr>
            <xdr:cNvPr id="675" name="ZoneTexte 674">
              <a:hlinkClick xmlns:r="http://schemas.openxmlformats.org/officeDocument/2006/relationships" r:id="rId6"/>
            </xdr:cNvPr>
            <xdr:cNvSpPr txBox="1"/>
          </xdr:nvSpPr>
          <xdr:spPr>
            <a:xfrm>
              <a:off x="10358437" y="41961661"/>
              <a:ext cx="2124076" cy="428625"/>
            </a:xfrm>
            <a:prstGeom prst="rect">
              <a:avLst/>
            </a:prstGeom>
            <a:solidFill>
              <a:schemeClr val="accent6"/>
            </a:solidFill>
            <a:ln w="9525" cmpd="sng">
              <a:solidFill>
                <a:schemeClr val="lt1">
                  <a:shade val="50000"/>
                </a:schemeClr>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fr-FR" sz="1100">
                  <a:solidFill>
                    <a:schemeClr val="bg1"/>
                  </a:solidFill>
                </a:rPr>
                <a:t>Conséquences</a:t>
              </a:r>
              <a:r>
                <a:rPr lang="fr-FR" sz="1100" baseline="0">
                  <a:solidFill>
                    <a:schemeClr val="bg1"/>
                  </a:solidFill>
                </a:rPr>
                <a:t> du passage en SEL</a:t>
              </a:r>
              <a:endParaRPr lang="fr-FR" sz="1100">
                <a:solidFill>
                  <a:schemeClr val="bg1"/>
                </a:solidFill>
              </a:endParaRPr>
            </a:p>
          </xdr:txBody>
        </xdr:sp>
        <xdr:sp macro="" textlink="">
          <xdr:nvSpPr>
            <xdr:cNvPr id="676" name="ZoneTexte 675">
              <a:hlinkClick xmlns:r="http://schemas.openxmlformats.org/officeDocument/2006/relationships" r:id="rId7"/>
            </xdr:cNvPr>
            <xdr:cNvSpPr txBox="1"/>
          </xdr:nvSpPr>
          <xdr:spPr>
            <a:xfrm>
              <a:off x="10358437" y="42409337"/>
              <a:ext cx="2124076" cy="428625"/>
            </a:xfrm>
            <a:prstGeom prst="rect">
              <a:avLst/>
            </a:prstGeom>
            <a:solidFill>
              <a:schemeClr val="accent6"/>
            </a:solidFill>
            <a:ln w="9525" cmpd="sng">
              <a:solidFill>
                <a:schemeClr val="lt1">
                  <a:shade val="50000"/>
                </a:schemeClr>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fr-FR" sz="1100">
                  <a:solidFill>
                    <a:schemeClr val="bg1"/>
                  </a:solidFill>
                </a:rPr>
                <a:t>Les cotisations</a:t>
              </a:r>
              <a:r>
                <a:rPr lang="fr-FR" sz="1100" baseline="0">
                  <a:solidFill>
                    <a:schemeClr val="bg1"/>
                  </a:solidFill>
                </a:rPr>
                <a:t> sociales obligatoires du gérant</a:t>
              </a:r>
              <a:endParaRPr lang="fr-FR" sz="1100">
                <a:solidFill>
                  <a:schemeClr val="bg1"/>
                </a:solidFill>
              </a:endParaRPr>
            </a:p>
          </xdr:txBody>
        </xdr:sp>
        <xdr:sp macro="" textlink="">
          <xdr:nvSpPr>
            <xdr:cNvPr id="677" name="ZoneTexte 676">
              <a:hlinkClick xmlns:r="http://schemas.openxmlformats.org/officeDocument/2006/relationships" r:id="rId8"/>
            </xdr:cNvPr>
            <xdr:cNvSpPr txBox="1"/>
          </xdr:nvSpPr>
          <xdr:spPr>
            <a:xfrm>
              <a:off x="10358437" y="42857012"/>
              <a:ext cx="2124076" cy="419101"/>
            </a:xfrm>
            <a:prstGeom prst="rect">
              <a:avLst/>
            </a:prstGeom>
            <a:solidFill>
              <a:schemeClr val="accent6"/>
            </a:solidFill>
            <a:ln w="9525" cmpd="sng">
              <a:solidFill>
                <a:schemeClr val="lt1">
                  <a:shade val="50000"/>
                </a:schemeClr>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fr-FR" sz="1100">
                  <a:solidFill>
                    <a:schemeClr val="bg1"/>
                  </a:solidFill>
                </a:rPr>
                <a:t>Le compte de résultat</a:t>
              </a:r>
              <a:r>
                <a:rPr lang="fr-FR" sz="1100" baseline="0">
                  <a:solidFill>
                    <a:schemeClr val="bg1"/>
                  </a:solidFill>
                </a:rPr>
                <a:t> </a:t>
              </a:r>
              <a:endParaRPr lang="fr-FR" sz="1100">
                <a:solidFill>
                  <a:schemeClr val="bg1"/>
                </a:solidFill>
              </a:endParaRPr>
            </a:p>
          </xdr:txBody>
        </xdr:sp>
        <xdr:sp macro="" textlink="">
          <xdr:nvSpPr>
            <xdr:cNvPr id="678" name="ZoneTexte 677">
              <a:hlinkClick xmlns:r="http://schemas.openxmlformats.org/officeDocument/2006/relationships" r:id="rId9"/>
            </xdr:cNvPr>
            <xdr:cNvSpPr txBox="1"/>
          </xdr:nvSpPr>
          <xdr:spPr>
            <a:xfrm>
              <a:off x="10358437" y="43295163"/>
              <a:ext cx="2124076" cy="438149"/>
            </a:xfrm>
            <a:prstGeom prst="rect">
              <a:avLst/>
            </a:prstGeom>
            <a:solidFill>
              <a:schemeClr val="accent6"/>
            </a:solidFill>
            <a:ln w="9525" cmpd="sng">
              <a:solidFill>
                <a:schemeClr val="lt1">
                  <a:shade val="50000"/>
                </a:schemeClr>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fr-FR" sz="1100">
                  <a:solidFill>
                    <a:schemeClr val="bg1"/>
                  </a:solidFill>
                </a:rPr>
                <a:t>Imposition</a:t>
              </a:r>
              <a:r>
                <a:rPr lang="fr-FR" sz="1100" baseline="0">
                  <a:solidFill>
                    <a:schemeClr val="bg1"/>
                  </a:solidFill>
                </a:rPr>
                <a:t> personnelle du gérant</a:t>
              </a:r>
              <a:endParaRPr lang="fr-FR" sz="1100">
                <a:solidFill>
                  <a:schemeClr val="bg1"/>
                </a:solidFill>
              </a:endParaRPr>
            </a:p>
          </xdr:txBody>
        </xdr:sp>
        <xdr:sp macro="" textlink="">
          <xdr:nvSpPr>
            <xdr:cNvPr id="679" name="ZoneTexte 678"/>
            <xdr:cNvSpPr txBox="1"/>
          </xdr:nvSpPr>
          <xdr:spPr>
            <a:xfrm>
              <a:off x="10506075" y="41647338"/>
              <a:ext cx="1828800" cy="2857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fr-FR" sz="1200" b="1"/>
                <a:t>Exercice</a:t>
              </a:r>
              <a:r>
                <a:rPr lang="fr-FR" sz="1200" b="1" baseline="0"/>
                <a:t> en SEL</a:t>
              </a:r>
              <a:endParaRPr lang="fr-FR" sz="1200" b="1"/>
            </a:p>
          </xdr:txBody>
        </xdr:sp>
        <xdr:sp macro="" textlink="">
          <xdr:nvSpPr>
            <xdr:cNvPr id="680" name="Rectangle à coins arrondis 679"/>
            <xdr:cNvSpPr/>
          </xdr:nvSpPr>
          <xdr:spPr>
            <a:xfrm>
              <a:off x="10106025" y="38080947"/>
              <a:ext cx="2628900" cy="7719290"/>
            </a:xfrm>
            <a:prstGeom prst="roundRect">
              <a:avLst/>
            </a:prstGeom>
            <a:noFill/>
            <a:ln>
              <a:solidFill>
                <a:schemeClr val="tx2"/>
              </a:solidFill>
            </a:ln>
            <a:effectLst>
              <a:glow rad="63500">
                <a:schemeClr val="bg1">
                  <a:lumMod val="75000"/>
                  <a:alpha val="40000"/>
                </a:schemeClr>
              </a:glo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fr-FR" sz="1000"/>
                <a:t>c</a:t>
              </a:r>
            </a:p>
          </xdr:txBody>
        </xdr:sp>
        <xdr:sp macro="" textlink="">
          <xdr:nvSpPr>
            <xdr:cNvPr id="681" name="ZoneTexte 680">
              <a:hlinkClick xmlns:r="http://schemas.openxmlformats.org/officeDocument/2006/relationships" r:id="rId10"/>
            </xdr:cNvPr>
            <xdr:cNvSpPr txBox="1"/>
          </xdr:nvSpPr>
          <xdr:spPr>
            <a:xfrm>
              <a:off x="10358437" y="43752363"/>
              <a:ext cx="2124076" cy="428625"/>
            </a:xfrm>
            <a:prstGeom prst="rect">
              <a:avLst/>
            </a:prstGeom>
            <a:solidFill>
              <a:schemeClr val="accent6"/>
            </a:solidFill>
            <a:ln w="9525" cmpd="sng">
              <a:solidFill>
                <a:schemeClr val="lt1">
                  <a:shade val="50000"/>
                </a:schemeClr>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fr-FR" sz="1100">
                  <a:solidFill>
                    <a:schemeClr val="bg1"/>
                  </a:solidFill>
                </a:rPr>
                <a:t>Récapitulatif</a:t>
              </a:r>
              <a:r>
                <a:rPr lang="fr-FR" sz="1100" baseline="0">
                  <a:solidFill>
                    <a:schemeClr val="bg1"/>
                  </a:solidFill>
                </a:rPr>
                <a:t> des prélèvements obligatoires</a:t>
              </a:r>
              <a:endParaRPr lang="fr-FR" sz="1100">
                <a:solidFill>
                  <a:schemeClr val="bg1"/>
                </a:solidFill>
              </a:endParaRPr>
            </a:p>
          </xdr:txBody>
        </xdr:sp>
        <xdr:sp macro="" textlink="">
          <xdr:nvSpPr>
            <xdr:cNvPr id="682" name="ZoneTexte 681">
              <a:hlinkClick xmlns:r="http://schemas.openxmlformats.org/officeDocument/2006/relationships" r:id="rId11"/>
            </xdr:cNvPr>
            <xdr:cNvSpPr txBox="1"/>
          </xdr:nvSpPr>
          <xdr:spPr>
            <a:xfrm>
              <a:off x="10358437" y="44200038"/>
              <a:ext cx="2124076" cy="428625"/>
            </a:xfrm>
            <a:prstGeom prst="rect">
              <a:avLst/>
            </a:prstGeom>
            <a:solidFill>
              <a:schemeClr val="accent6"/>
            </a:solidFill>
            <a:ln w="9525" cmpd="sng">
              <a:solidFill>
                <a:schemeClr val="lt1">
                  <a:shade val="50000"/>
                </a:schemeClr>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fr-FR" sz="1100">
                  <a:solidFill>
                    <a:schemeClr val="bg1"/>
                  </a:solidFill>
                </a:rPr>
                <a:t>Equili</a:t>
              </a:r>
              <a:r>
                <a:rPr lang="fr-FR" sz="1100" baseline="0">
                  <a:solidFill>
                    <a:schemeClr val="bg1"/>
                  </a:solidFill>
                </a:rPr>
                <a:t>bre financier</a:t>
              </a:r>
              <a:endParaRPr lang="fr-FR" sz="1100">
                <a:solidFill>
                  <a:schemeClr val="bg1"/>
                </a:solidFill>
              </a:endParaRPr>
            </a:p>
          </xdr:txBody>
        </xdr:sp>
        <xdr:sp macro="" textlink="">
          <xdr:nvSpPr>
            <xdr:cNvPr id="683" name="ZoneTexte 682">
              <a:hlinkClick xmlns:r="http://schemas.openxmlformats.org/officeDocument/2006/relationships" r:id="rId12"/>
            </xdr:cNvPr>
            <xdr:cNvSpPr txBox="1"/>
          </xdr:nvSpPr>
          <xdr:spPr>
            <a:xfrm>
              <a:off x="10358437" y="44647712"/>
              <a:ext cx="2124076" cy="428625"/>
            </a:xfrm>
            <a:prstGeom prst="rect">
              <a:avLst/>
            </a:prstGeom>
            <a:solidFill>
              <a:schemeClr val="accent6"/>
            </a:solidFill>
            <a:ln w="9525" cmpd="sng">
              <a:solidFill>
                <a:schemeClr val="lt1">
                  <a:shade val="50000"/>
                </a:schemeClr>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fr-FR" sz="1100">
                  <a:solidFill>
                    <a:schemeClr val="bg1"/>
                  </a:solidFill>
                </a:rPr>
                <a:t>Revenu</a:t>
              </a:r>
              <a:r>
                <a:rPr lang="fr-FR" sz="1100" baseline="0">
                  <a:solidFill>
                    <a:schemeClr val="bg1"/>
                  </a:solidFill>
                </a:rPr>
                <a:t> disponible personnel</a:t>
              </a:r>
              <a:endParaRPr lang="fr-FR" sz="1100">
                <a:solidFill>
                  <a:schemeClr val="bg1"/>
                </a:solidFill>
              </a:endParaRPr>
            </a:p>
          </xdr:txBody>
        </xdr:sp>
        <xdr:sp macro="" textlink="">
          <xdr:nvSpPr>
            <xdr:cNvPr id="684" name="ZoneTexte 683">
              <a:hlinkClick xmlns:r="http://schemas.openxmlformats.org/officeDocument/2006/relationships" r:id="rId13"/>
            </xdr:cNvPr>
            <xdr:cNvSpPr txBox="1"/>
          </xdr:nvSpPr>
          <xdr:spPr>
            <a:xfrm>
              <a:off x="10358437" y="45266841"/>
              <a:ext cx="2124076" cy="428625"/>
            </a:xfrm>
            <a:prstGeom prst="rect">
              <a:avLst/>
            </a:prstGeom>
            <a:solidFill>
              <a:schemeClr val="tx2"/>
            </a:solidFill>
            <a:ln w="9525" cmpd="sng">
              <a:solidFill>
                <a:schemeClr val="lt1">
                  <a:shade val="50000"/>
                </a:schemeClr>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fr-FR" sz="1200" b="1">
                  <a:solidFill>
                    <a:schemeClr val="tx1"/>
                  </a:solidFill>
                </a:rPr>
                <a:t>Conclusion</a:t>
              </a:r>
            </a:p>
          </xdr:txBody>
        </xdr:sp>
        <xdr:sp macro="" textlink="">
          <xdr:nvSpPr>
            <xdr:cNvPr id="685" name="ZoneTexte 684">
              <a:hlinkClick xmlns:r="http://schemas.openxmlformats.org/officeDocument/2006/relationships" r:id="rId14"/>
            </xdr:cNvPr>
            <xdr:cNvSpPr txBox="1"/>
          </xdr:nvSpPr>
          <xdr:spPr>
            <a:xfrm>
              <a:off x="10363200" y="38347650"/>
              <a:ext cx="2124076" cy="428625"/>
            </a:xfrm>
            <a:prstGeom prst="rect">
              <a:avLst/>
            </a:prstGeom>
            <a:solidFill>
              <a:schemeClr val="tx2"/>
            </a:solidFill>
            <a:ln w="9525" cmpd="sng">
              <a:solidFill>
                <a:schemeClr val="lt1">
                  <a:shade val="50000"/>
                </a:schemeClr>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fr-FR" sz="1200" b="1">
                  <a:solidFill>
                    <a:schemeClr val="tx1"/>
                  </a:solidFill>
                </a:rPr>
                <a:t>Informations Client</a:t>
              </a:r>
            </a:p>
          </xdr:txBody>
        </xdr:sp>
        <xdr:sp macro="" textlink="">
          <xdr:nvSpPr>
            <xdr:cNvPr id="686" name="ZoneTexte 685"/>
            <xdr:cNvSpPr txBox="1"/>
          </xdr:nvSpPr>
          <xdr:spPr>
            <a:xfrm>
              <a:off x="10525125" y="37957125"/>
              <a:ext cx="1828800" cy="2857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fr-FR" sz="1600" b="1" u="sng">
                  <a:solidFill>
                    <a:schemeClr val="tx2"/>
                  </a:solidFill>
                </a:rPr>
                <a:t>Accès direct</a:t>
              </a:r>
            </a:p>
          </xdr:txBody>
        </xdr:sp>
      </xdr:grpSp>
      <xdr:sp macro="" textlink="">
        <xdr:nvSpPr>
          <xdr:cNvPr id="669" name="ZoneTexte 668">
            <a:hlinkClick xmlns:r="http://schemas.openxmlformats.org/officeDocument/2006/relationships" r:id="rId15"/>
          </xdr:cNvPr>
          <xdr:cNvSpPr txBox="1"/>
        </xdr:nvSpPr>
        <xdr:spPr>
          <a:xfrm>
            <a:off x="13425488" y="2345531"/>
            <a:ext cx="2118945" cy="462068"/>
          </a:xfrm>
          <a:prstGeom prst="rect">
            <a:avLst/>
          </a:prstGeom>
          <a:solidFill>
            <a:schemeClr val="accent3">
              <a:lumMod val="50000"/>
            </a:schemeClr>
          </a:solidFill>
          <a:ln w="9525" cmpd="sng">
            <a:solidFill>
              <a:schemeClr val="lt1">
                <a:shade val="50000"/>
              </a:schemeClr>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fr-FR" sz="1100" b="1">
                <a:solidFill>
                  <a:schemeClr val="bg1"/>
                </a:solidFill>
              </a:rPr>
              <a:t>Déclaration</a:t>
            </a:r>
            <a:r>
              <a:rPr lang="fr-FR" sz="1100" b="1" baseline="0">
                <a:solidFill>
                  <a:schemeClr val="bg1"/>
                </a:solidFill>
              </a:rPr>
              <a:t> 2035</a:t>
            </a:r>
            <a:endParaRPr lang="fr-FR" sz="1100" b="1">
              <a:solidFill>
                <a:schemeClr val="bg1"/>
              </a:solidFill>
            </a:endParaRPr>
          </a:p>
        </xdr:txBody>
      </xdr:sp>
    </xdr:grpSp>
    <xdr:clientData/>
  </xdr:twoCellAnchor>
  <xdr:twoCellAnchor>
    <xdr:from>
      <xdr:col>13</xdr:col>
      <xdr:colOff>238120</xdr:colOff>
      <xdr:row>465</xdr:row>
      <xdr:rowOff>0</xdr:rowOff>
    </xdr:from>
    <xdr:to>
      <xdr:col>16</xdr:col>
      <xdr:colOff>574670</xdr:colOff>
      <xdr:row>494</xdr:row>
      <xdr:rowOff>5554</xdr:rowOff>
    </xdr:to>
    <xdr:grpSp>
      <xdr:nvGrpSpPr>
        <xdr:cNvPr id="687" name="Groupe 686"/>
        <xdr:cNvGrpSpPr/>
      </xdr:nvGrpSpPr>
      <xdr:grpSpPr>
        <a:xfrm>
          <a:off x="13346901" y="103239094"/>
          <a:ext cx="2622550" cy="7399335"/>
          <a:chOff x="13173605" y="1266030"/>
          <a:chExt cx="2622550" cy="7399336"/>
        </a:xfrm>
      </xdr:grpSpPr>
      <xdr:grpSp>
        <xdr:nvGrpSpPr>
          <xdr:cNvPr id="688" name="Groupe 170"/>
          <xdr:cNvGrpSpPr/>
        </xdr:nvGrpSpPr>
        <xdr:grpSpPr>
          <a:xfrm>
            <a:off x="13173605" y="1266018"/>
            <a:ext cx="2622550" cy="7399334"/>
            <a:chOff x="10106025" y="37957125"/>
            <a:chExt cx="2628900" cy="7843112"/>
          </a:xfrm>
        </xdr:grpSpPr>
        <xdr:sp macro="" textlink="">
          <xdr:nvSpPr>
            <xdr:cNvPr id="690" name="ZoneTexte 689">
              <a:hlinkClick xmlns:r="http://schemas.openxmlformats.org/officeDocument/2006/relationships" r:id="rId2"/>
            </xdr:cNvPr>
            <xdr:cNvSpPr txBox="1"/>
          </xdr:nvSpPr>
          <xdr:spPr>
            <a:xfrm>
              <a:off x="10358437" y="39615312"/>
              <a:ext cx="2124076" cy="491978"/>
            </a:xfrm>
            <a:prstGeom prst="rect">
              <a:avLst/>
            </a:prstGeom>
            <a:solidFill>
              <a:schemeClr val="accent3">
                <a:lumMod val="50000"/>
              </a:schemeClr>
            </a:solidFill>
            <a:ln w="9525" cmpd="sng">
              <a:solidFill>
                <a:schemeClr val="lt1">
                  <a:shade val="50000"/>
                </a:schemeClr>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fr-FR" sz="1100" b="1">
                  <a:solidFill>
                    <a:schemeClr val="bg1"/>
                  </a:solidFill>
                </a:rPr>
                <a:t>Vos cotisations</a:t>
              </a:r>
              <a:r>
                <a:rPr lang="fr-FR" sz="1100" b="1" baseline="0">
                  <a:solidFill>
                    <a:schemeClr val="bg1"/>
                  </a:solidFill>
                </a:rPr>
                <a:t> obligatoires</a:t>
              </a:r>
              <a:endParaRPr lang="fr-FR" sz="1100" b="1">
                <a:solidFill>
                  <a:schemeClr val="bg1"/>
                </a:solidFill>
              </a:endParaRPr>
            </a:p>
          </xdr:txBody>
        </xdr:sp>
        <xdr:sp macro="" textlink="">
          <xdr:nvSpPr>
            <xdr:cNvPr id="691" name="ZoneTexte 690">
              <a:hlinkClick xmlns:r="http://schemas.openxmlformats.org/officeDocument/2006/relationships" r:id="rId3"/>
            </xdr:cNvPr>
            <xdr:cNvSpPr txBox="1"/>
          </xdr:nvSpPr>
          <xdr:spPr>
            <a:xfrm>
              <a:off x="10358437" y="40137296"/>
              <a:ext cx="2124076" cy="491978"/>
            </a:xfrm>
            <a:prstGeom prst="rect">
              <a:avLst/>
            </a:prstGeom>
            <a:solidFill>
              <a:schemeClr val="accent3">
                <a:lumMod val="50000"/>
              </a:schemeClr>
            </a:solidFill>
            <a:ln w="9525" cmpd="sng">
              <a:solidFill>
                <a:schemeClr val="lt1">
                  <a:shade val="50000"/>
                </a:schemeClr>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fr-FR" sz="1100" b="1">
                  <a:solidFill>
                    <a:schemeClr val="bg1"/>
                  </a:solidFill>
                </a:rPr>
                <a:t>Votre</a:t>
              </a:r>
              <a:r>
                <a:rPr lang="fr-FR" sz="1100" b="1" baseline="0">
                  <a:solidFill>
                    <a:schemeClr val="bg1"/>
                  </a:solidFill>
                </a:rPr>
                <a:t> impôt sur le revenu</a:t>
              </a:r>
              <a:endParaRPr lang="fr-FR" sz="1100" b="1">
                <a:solidFill>
                  <a:schemeClr val="bg1"/>
                </a:solidFill>
              </a:endParaRPr>
            </a:p>
          </xdr:txBody>
        </xdr:sp>
        <xdr:sp macro="" textlink="">
          <xdr:nvSpPr>
            <xdr:cNvPr id="692" name="ZoneTexte 691">
              <a:hlinkClick xmlns:r="http://schemas.openxmlformats.org/officeDocument/2006/relationships" r:id="rId4"/>
            </xdr:cNvPr>
            <xdr:cNvSpPr txBox="1"/>
          </xdr:nvSpPr>
          <xdr:spPr>
            <a:xfrm>
              <a:off x="10358437" y="40659280"/>
              <a:ext cx="2124076" cy="491978"/>
            </a:xfrm>
            <a:prstGeom prst="rect">
              <a:avLst/>
            </a:prstGeom>
            <a:solidFill>
              <a:schemeClr val="accent3">
                <a:lumMod val="50000"/>
              </a:schemeClr>
            </a:solidFill>
            <a:ln w="9525" cmpd="sng">
              <a:solidFill>
                <a:schemeClr val="lt1">
                  <a:shade val="50000"/>
                </a:schemeClr>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fr-FR" sz="1100" b="1">
                  <a:solidFill>
                    <a:schemeClr val="bg1"/>
                  </a:solidFill>
                </a:rPr>
                <a:t>Récapitulatif</a:t>
              </a:r>
              <a:r>
                <a:rPr lang="fr-FR" sz="1100" b="1" baseline="0">
                  <a:solidFill>
                    <a:schemeClr val="bg1"/>
                  </a:solidFill>
                </a:rPr>
                <a:t> de vos prélèvements obligatoires</a:t>
              </a:r>
              <a:endParaRPr lang="fr-FR" sz="1100" b="1">
                <a:solidFill>
                  <a:schemeClr val="bg1"/>
                </a:solidFill>
              </a:endParaRPr>
            </a:p>
          </xdr:txBody>
        </xdr:sp>
        <xdr:sp macro="" textlink="">
          <xdr:nvSpPr>
            <xdr:cNvPr id="693" name="ZoneTexte 692">
              <a:hlinkClick xmlns:r="http://schemas.openxmlformats.org/officeDocument/2006/relationships" r:id="rId5"/>
            </xdr:cNvPr>
            <xdr:cNvSpPr txBox="1"/>
          </xdr:nvSpPr>
          <xdr:spPr>
            <a:xfrm>
              <a:off x="10358437" y="41159670"/>
              <a:ext cx="2124076" cy="491978"/>
            </a:xfrm>
            <a:prstGeom prst="rect">
              <a:avLst/>
            </a:prstGeom>
            <a:solidFill>
              <a:schemeClr val="accent3">
                <a:lumMod val="50000"/>
              </a:schemeClr>
            </a:solidFill>
            <a:ln w="9525" cmpd="sng">
              <a:solidFill>
                <a:schemeClr val="lt1">
                  <a:shade val="50000"/>
                </a:schemeClr>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fr-FR" sz="1100" b="1">
                  <a:solidFill>
                    <a:schemeClr val="bg1"/>
                  </a:solidFill>
                </a:rPr>
                <a:t>Votre équilibre financier</a:t>
              </a:r>
            </a:p>
          </xdr:txBody>
        </xdr:sp>
        <xdr:sp macro="" textlink="">
          <xdr:nvSpPr>
            <xdr:cNvPr id="694" name="ZoneTexte 693"/>
            <xdr:cNvSpPr txBox="1"/>
          </xdr:nvSpPr>
          <xdr:spPr>
            <a:xfrm>
              <a:off x="10506075" y="38860074"/>
              <a:ext cx="1828800" cy="2857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fr-FR" sz="1200" b="1"/>
                <a:t>Exercice individuel</a:t>
              </a:r>
            </a:p>
          </xdr:txBody>
        </xdr:sp>
        <xdr:sp macro="" textlink="">
          <xdr:nvSpPr>
            <xdr:cNvPr id="695" name="ZoneTexte 694">
              <a:hlinkClick xmlns:r="http://schemas.openxmlformats.org/officeDocument/2006/relationships" r:id="rId6"/>
            </xdr:cNvPr>
            <xdr:cNvSpPr txBox="1"/>
          </xdr:nvSpPr>
          <xdr:spPr>
            <a:xfrm>
              <a:off x="10358437" y="41961661"/>
              <a:ext cx="2124076" cy="428625"/>
            </a:xfrm>
            <a:prstGeom prst="rect">
              <a:avLst/>
            </a:prstGeom>
            <a:solidFill>
              <a:schemeClr val="accent6"/>
            </a:solidFill>
            <a:ln w="9525" cmpd="sng">
              <a:solidFill>
                <a:schemeClr val="lt1">
                  <a:shade val="50000"/>
                </a:schemeClr>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fr-FR" sz="1100">
                  <a:solidFill>
                    <a:schemeClr val="bg1"/>
                  </a:solidFill>
                </a:rPr>
                <a:t>Conséquences</a:t>
              </a:r>
              <a:r>
                <a:rPr lang="fr-FR" sz="1100" baseline="0">
                  <a:solidFill>
                    <a:schemeClr val="bg1"/>
                  </a:solidFill>
                </a:rPr>
                <a:t> du passage en SEL</a:t>
              </a:r>
              <a:endParaRPr lang="fr-FR" sz="1100">
                <a:solidFill>
                  <a:schemeClr val="bg1"/>
                </a:solidFill>
              </a:endParaRPr>
            </a:p>
          </xdr:txBody>
        </xdr:sp>
        <xdr:sp macro="" textlink="">
          <xdr:nvSpPr>
            <xdr:cNvPr id="696" name="ZoneTexte 695">
              <a:hlinkClick xmlns:r="http://schemas.openxmlformats.org/officeDocument/2006/relationships" r:id="rId7"/>
            </xdr:cNvPr>
            <xdr:cNvSpPr txBox="1"/>
          </xdr:nvSpPr>
          <xdr:spPr>
            <a:xfrm>
              <a:off x="10358437" y="42409337"/>
              <a:ext cx="2124076" cy="428625"/>
            </a:xfrm>
            <a:prstGeom prst="rect">
              <a:avLst/>
            </a:prstGeom>
            <a:solidFill>
              <a:schemeClr val="accent6"/>
            </a:solidFill>
            <a:ln w="9525" cmpd="sng">
              <a:solidFill>
                <a:schemeClr val="lt1">
                  <a:shade val="50000"/>
                </a:schemeClr>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fr-FR" sz="1100">
                  <a:solidFill>
                    <a:schemeClr val="bg1"/>
                  </a:solidFill>
                </a:rPr>
                <a:t>Les cotisations</a:t>
              </a:r>
              <a:r>
                <a:rPr lang="fr-FR" sz="1100" baseline="0">
                  <a:solidFill>
                    <a:schemeClr val="bg1"/>
                  </a:solidFill>
                </a:rPr>
                <a:t> sociales obligatoires du gérant</a:t>
              </a:r>
              <a:endParaRPr lang="fr-FR" sz="1100">
                <a:solidFill>
                  <a:schemeClr val="bg1"/>
                </a:solidFill>
              </a:endParaRPr>
            </a:p>
          </xdr:txBody>
        </xdr:sp>
        <xdr:sp macro="" textlink="">
          <xdr:nvSpPr>
            <xdr:cNvPr id="697" name="ZoneTexte 696">
              <a:hlinkClick xmlns:r="http://schemas.openxmlformats.org/officeDocument/2006/relationships" r:id="rId8"/>
            </xdr:cNvPr>
            <xdr:cNvSpPr txBox="1"/>
          </xdr:nvSpPr>
          <xdr:spPr>
            <a:xfrm>
              <a:off x="10358437" y="42857012"/>
              <a:ext cx="2124076" cy="419101"/>
            </a:xfrm>
            <a:prstGeom prst="rect">
              <a:avLst/>
            </a:prstGeom>
            <a:solidFill>
              <a:schemeClr val="accent6"/>
            </a:solidFill>
            <a:ln w="9525" cmpd="sng">
              <a:solidFill>
                <a:schemeClr val="lt1">
                  <a:shade val="50000"/>
                </a:schemeClr>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fr-FR" sz="1100">
                  <a:solidFill>
                    <a:schemeClr val="bg1"/>
                  </a:solidFill>
                </a:rPr>
                <a:t>Le compte de résultat</a:t>
              </a:r>
              <a:r>
                <a:rPr lang="fr-FR" sz="1100" baseline="0">
                  <a:solidFill>
                    <a:schemeClr val="bg1"/>
                  </a:solidFill>
                </a:rPr>
                <a:t> </a:t>
              </a:r>
              <a:endParaRPr lang="fr-FR" sz="1100">
                <a:solidFill>
                  <a:schemeClr val="bg1"/>
                </a:solidFill>
              </a:endParaRPr>
            </a:p>
          </xdr:txBody>
        </xdr:sp>
        <xdr:sp macro="" textlink="">
          <xdr:nvSpPr>
            <xdr:cNvPr id="698" name="ZoneTexte 697">
              <a:hlinkClick xmlns:r="http://schemas.openxmlformats.org/officeDocument/2006/relationships" r:id="rId9"/>
            </xdr:cNvPr>
            <xdr:cNvSpPr txBox="1"/>
          </xdr:nvSpPr>
          <xdr:spPr>
            <a:xfrm>
              <a:off x="10358437" y="43295163"/>
              <a:ext cx="2124076" cy="438149"/>
            </a:xfrm>
            <a:prstGeom prst="rect">
              <a:avLst/>
            </a:prstGeom>
            <a:solidFill>
              <a:schemeClr val="accent6"/>
            </a:solidFill>
            <a:ln w="9525" cmpd="sng">
              <a:solidFill>
                <a:schemeClr val="lt1">
                  <a:shade val="50000"/>
                </a:schemeClr>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fr-FR" sz="1100">
                  <a:solidFill>
                    <a:schemeClr val="bg1"/>
                  </a:solidFill>
                </a:rPr>
                <a:t>Imposition</a:t>
              </a:r>
              <a:r>
                <a:rPr lang="fr-FR" sz="1100" baseline="0">
                  <a:solidFill>
                    <a:schemeClr val="bg1"/>
                  </a:solidFill>
                </a:rPr>
                <a:t> personnelle du gérant</a:t>
              </a:r>
              <a:endParaRPr lang="fr-FR" sz="1100">
                <a:solidFill>
                  <a:schemeClr val="bg1"/>
                </a:solidFill>
              </a:endParaRPr>
            </a:p>
          </xdr:txBody>
        </xdr:sp>
        <xdr:sp macro="" textlink="">
          <xdr:nvSpPr>
            <xdr:cNvPr id="699" name="ZoneTexte 698"/>
            <xdr:cNvSpPr txBox="1"/>
          </xdr:nvSpPr>
          <xdr:spPr>
            <a:xfrm>
              <a:off x="10506075" y="41647338"/>
              <a:ext cx="1828800" cy="2857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fr-FR" sz="1200" b="1"/>
                <a:t>Exercice</a:t>
              </a:r>
              <a:r>
                <a:rPr lang="fr-FR" sz="1200" b="1" baseline="0"/>
                <a:t> en SEL</a:t>
              </a:r>
              <a:endParaRPr lang="fr-FR" sz="1200" b="1"/>
            </a:p>
          </xdr:txBody>
        </xdr:sp>
        <xdr:sp macro="" textlink="">
          <xdr:nvSpPr>
            <xdr:cNvPr id="700" name="Rectangle à coins arrondis 699"/>
            <xdr:cNvSpPr/>
          </xdr:nvSpPr>
          <xdr:spPr>
            <a:xfrm>
              <a:off x="10106025" y="38080947"/>
              <a:ext cx="2628900" cy="7719290"/>
            </a:xfrm>
            <a:prstGeom prst="roundRect">
              <a:avLst/>
            </a:prstGeom>
            <a:noFill/>
            <a:ln>
              <a:solidFill>
                <a:schemeClr val="tx2"/>
              </a:solidFill>
            </a:ln>
            <a:effectLst>
              <a:glow rad="63500">
                <a:schemeClr val="bg1">
                  <a:lumMod val="75000"/>
                  <a:alpha val="40000"/>
                </a:schemeClr>
              </a:glo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fr-FR" sz="1000"/>
                <a:t>c</a:t>
              </a:r>
            </a:p>
          </xdr:txBody>
        </xdr:sp>
        <xdr:sp macro="" textlink="">
          <xdr:nvSpPr>
            <xdr:cNvPr id="701" name="ZoneTexte 700">
              <a:hlinkClick xmlns:r="http://schemas.openxmlformats.org/officeDocument/2006/relationships" r:id="rId10"/>
            </xdr:cNvPr>
            <xdr:cNvSpPr txBox="1"/>
          </xdr:nvSpPr>
          <xdr:spPr>
            <a:xfrm>
              <a:off x="10358437" y="43752363"/>
              <a:ext cx="2124076" cy="428625"/>
            </a:xfrm>
            <a:prstGeom prst="rect">
              <a:avLst/>
            </a:prstGeom>
            <a:solidFill>
              <a:schemeClr val="accent6"/>
            </a:solidFill>
            <a:ln w="9525" cmpd="sng">
              <a:solidFill>
                <a:schemeClr val="lt1">
                  <a:shade val="50000"/>
                </a:schemeClr>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fr-FR" sz="1100">
                  <a:solidFill>
                    <a:schemeClr val="bg1"/>
                  </a:solidFill>
                </a:rPr>
                <a:t>Récapitulatif</a:t>
              </a:r>
              <a:r>
                <a:rPr lang="fr-FR" sz="1100" baseline="0">
                  <a:solidFill>
                    <a:schemeClr val="bg1"/>
                  </a:solidFill>
                </a:rPr>
                <a:t> des prélèvements obligatoires</a:t>
              </a:r>
              <a:endParaRPr lang="fr-FR" sz="1100">
                <a:solidFill>
                  <a:schemeClr val="bg1"/>
                </a:solidFill>
              </a:endParaRPr>
            </a:p>
          </xdr:txBody>
        </xdr:sp>
        <xdr:sp macro="" textlink="">
          <xdr:nvSpPr>
            <xdr:cNvPr id="702" name="ZoneTexte 701">
              <a:hlinkClick xmlns:r="http://schemas.openxmlformats.org/officeDocument/2006/relationships" r:id="rId11"/>
            </xdr:cNvPr>
            <xdr:cNvSpPr txBox="1"/>
          </xdr:nvSpPr>
          <xdr:spPr>
            <a:xfrm>
              <a:off x="10358437" y="44200038"/>
              <a:ext cx="2124076" cy="428625"/>
            </a:xfrm>
            <a:prstGeom prst="rect">
              <a:avLst/>
            </a:prstGeom>
            <a:solidFill>
              <a:schemeClr val="accent6"/>
            </a:solidFill>
            <a:ln w="9525" cmpd="sng">
              <a:solidFill>
                <a:schemeClr val="lt1">
                  <a:shade val="50000"/>
                </a:schemeClr>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fr-FR" sz="1100">
                  <a:solidFill>
                    <a:schemeClr val="bg1"/>
                  </a:solidFill>
                </a:rPr>
                <a:t>Equili</a:t>
              </a:r>
              <a:r>
                <a:rPr lang="fr-FR" sz="1100" baseline="0">
                  <a:solidFill>
                    <a:schemeClr val="bg1"/>
                  </a:solidFill>
                </a:rPr>
                <a:t>bre financier</a:t>
              </a:r>
              <a:endParaRPr lang="fr-FR" sz="1100">
                <a:solidFill>
                  <a:schemeClr val="bg1"/>
                </a:solidFill>
              </a:endParaRPr>
            </a:p>
          </xdr:txBody>
        </xdr:sp>
        <xdr:sp macro="" textlink="">
          <xdr:nvSpPr>
            <xdr:cNvPr id="703" name="ZoneTexte 702">
              <a:hlinkClick xmlns:r="http://schemas.openxmlformats.org/officeDocument/2006/relationships" r:id="rId12"/>
            </xdr:cNvPr>
            <xdr:cNvSpPr txBox="1"/>
          </xdr:nvSpPr>
          <xdr:spPr>
            <a:xfrm>
              <a:off x="10358437" y="44647712"/>
              <a:ext cx="2124076" cy="428625"/>
            </a:xfrm>
            <a:prstGeom prst="rect">
              <a:avLst/>
            </a:prstGeom>
            <a:solidFill>
              <a:schemeClr val="accent6"/>
            </a:solidFill>
            <a:ln w="9525" cmpd="sng">
              <a:solidFill>
                <a:schemeClr val="lt1">
                  <a:shade val="50000"/>
                </a:schemeClr>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fr-FR" sz="1100">
                  <a:solidFill>
                    <a:schemeClr val="bg1"/>
                  </a:solidFill>
                </a:rPr>
                <a:t>Revenu</a:t>
              </a:r>
              <a:r>
                <a:rPr lang="fr-FR" sz="1100" baseline="0">
                  <a:solidFill>
                    <a:schemeClr val="bg1"/>
                  </a:solidFill>
                </a:rPr>
                <a:t> disponible personnel</a:t>
              </a:r>
              <a:endParaRPr lang="fr-FR" sz="1100">
                <a:solidFill>
                  <a:schemeClr val="bg1"/>
                </a:solidFill>
              </a:endParaRPr>
            </a:p>
          </xdr:txBody>
        </xdr:sp>
        <xdr:sp macro="" textlink="">
          <xdr:nvSpPr>
            <xdr:cNvPr id="704" name="ZoneTexte 703">
              <a:hlinkClick xmlns:r="http://schemas.openxmlformats.org/officeDocument/2006/relationships" r:id="rId13"/>
            </xdr:cNvPr>
            <xdr:cNvSpPr txBox="1"/>
          </xdr:nvSpPr>
          <xdr:spPr>
            <a:xfrm>
              <a:off x="10358437" y="45266841"/>
              <a:ext cx="2124076" cy="428625"/>
            </a:xfrm>
            <a:prstGeom prst="rect">
              <a:avLst/>
            </a:prstGeom>
            <a:solidFill>
              <a:schemeClr val="tx2"/>
            </a:solidFill>
            <a:ln w="9525" cmpd="sng">
              <a:solidFill>
                <a:schemeClr val="lt1">
                  <a:shade val="50000"/>
                </a:schemeClr>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fr-FR" sz="1200" b="1">
                  <a:solidFill>
                    <a:schemeClr val="tx1"/>
                  </a:solidFill>
                </a:rPr>
                <a:t>Conclusion</a:t>
              </a:r>
            </a:p>
          </xdr:txBody>
        </xdr:sp>
        <xdr:sp macro="" textlink="">
          <xdr:nvSpPr>
            <xdr:cNvPr id="705" name="ZoneTexte 704">
              <a:hlinkClick xmlns:r="http://schemas.openxmlformats.org/officeDocument/2006/relationships" r:id="rId14"/>
            </xdr:cNvPr>
            <xdr:cNvSpPr txBox="1"/>
          </xdr:nvSpPr>
          <xdr:spPr>
            <a:xfrm>
              <a:off x="10363200" y="38347650"/>
              <a:ext cx="2124076" cy="428625"/>
            </a:xfrm>
            <a:prstGeom prst="rect">
              <a:avLst/>
            </a:prstGeom>
            <a:solidFill>
              <a:schemeClr val="tx2"/>
            </a:solidFill>
            <a:ln w="9525" cmpd="sng">
              <a:solidFill>
                <a:schemeClr val="lt1">
                  <a:shade val="50000"/>
                </a:schemeClr>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fr-FR" sz="1200" b="1">
                  <a:solidFill>
                    <a:schemeClr val="tx1"/>
                  </a:solidFill>
                </a:rPr>
                <a:t>Informations Client</a:t>
              </a:r>
            </a:p>
          </xdr:txBody>
        </xdr:sp>
        <xdr:sp macro="" textlink="">
          <xdr:nvSpPr>
            <xdr:cNvPr id="706" name="ZoneTexte 705"/>
            <xdr:cNvSpPr txBox="1"/>
          </xdr:nvSpPr>
          <xdr:spPr>
            <a:xfrm>
              <a:off x="10525125" y="37957125"/>
              <a:ext cx="1828800" cy="2857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fr-FR" sz="1600" b="1" u="sng">
                  <a:solidFill>
                    <a:schemeClr val="tx2"/>
                  </a:solidFill>
                </a:rPr>
                <a:t>Accès direct</a:t>
              </a:r>
            </a:p>
          </xdr:txBody>
        </xdr:sp>
      </xdr:grpSp>
      <xdr:sp macro="" textlink="">
        <xdr:nvSpPr>
          <xdr:cNvPr id="689" name="ZoneTexte 688">
            <a:hlinkClick xmlns:r="http://schemas.openxmlformats.org/officeDocument/2006/relationships" r:id="rId15"/>
          </xdr:cNvPr>
          <xdr:cNvSpPr txBox="1"/>
        </xdr:nvSpPr>
        <xdr:spPr>
          <a:xfrm>
            <a:off x="13425488" y="2345531"/>
            <a:ext cx="2118945" cy="462068"/>
          </a:xfrm>
          <a:prstGeom prst="rect">
            <a:avLst/>
          </a:prstGeom>
          <a:solidFill>
            <a:schemeClr val="accent3">
              <a:lumMod val="50000"/>
            </a:schemeClr>
          </a:solidFill>
          <a:ln w="9525" cmpd="sng">
            <a:solidFill>
              <a:schemeClr val="lt1">
                <a:shade val="50000"/>
              </a:schemeClr>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fr-FR" sz="1100" b="1">
                <a:solidFill>
                  <a:schemeClr val="bg1"/>
                </a:solidFill>
              </a:rPr>
              <a:t>Déclaration</a:t>
            </a:r>
            <a:r>
              <a:rPr lang="fr-FR" sz="1100" b="1" baseline="0">
                <a:solidFill>
                  <a:schemeClr val="bg1"/>
                </a:solidFill>
              </a:rPr>
              <a:t> 2035</a:t>
            </a:r>
            <a:endParaRPr lang="fr-FR" sz="1100" b="1">
              <a:solidFill>
                <a:schemeClr val="bg1"/>
              </a:solidFill>
            </a:endParaRPr>
          </a:p>
        </xdr:txBody>
      </xdr:sp>
    </xdr:grpSp>
    <xdr:clientData/>
  </xdr:twoCellAnchor>
  <xdr:twoCellAnchor>
    <xdr:from>
      <xdr:col>13</xdr:col>
      <xdr:colOff>238120</xdr:colOff>
      <xdr:row>528</xdr:row>
      <xdr:rowOff>9</xdr:rowOff>
    </xdr:from>
    <xdr:to>
      <xdr:col>16</xdr:col>
      <xdr:colOff>574670</xdr:colOff>
      <xdr:row>558</xdr:row>
      <xdr:rowOff>255595</xdr:rowOff>
    </xdr:to>
    <xdr:grpSp>
      <xdr:nvGrpSpPr>
        <xdr:cNvPr id="707" name="Groupe 706"/>
        <xdr:cNvGrpSpPr/>
      </xdr:nvGrpSpPr>
      <xdr:grpSpPr>
        <a:xfrm>
          <a:off x="13346901" y="120026915"/>
          <a:ext cx="2622550" cy="7399336"/>
          <a:chOff x="13173605" y="1266030"/>
          <a:chExt cx="2622550" cy="7399336"/>
        </a:xfrm>
      </xdr:grpSpPr>
      <xdr:grpSp>
        <xdr:nvGrpSpPr>
          <xdr:cNvPr id="708" name="Groupe 170"/>
          <xdr:cNvGrpSpPr/>
        </xdr:nvGrpSpPr>
        <xdr:grpSpPr>
          <a:xfrm>
            <a:off x="13173605" y="1266018"/>
            <a:ext cx="2622550" cy="7399334"/>
            <a:chOff x="10106025" y="37957125"/>
            <a:chExt cx="2628900" cy="7843112"/>
          </a:xfrm>
        </xdr:grpSpPr>
        <xdr:sp macro="" textlink="">
          <xdr:nvSpPr>
            <xdr:cNvPr id="710" name="ZoneTexte 709">
              <a:hlinkClick xmlns:r="http://schemas.openxmlformats.org/officeDocument/2006/relationships" r:id="rId2"/>
            </xdr:cNvPr>
            <xdr:cNvSpPr txBox="1"/>
          </xdr:nvSpPr>
          <xdr:spPr>
            <a:xfrm>
              <a:off x="10358437" y="39615312"/>
              <a:ext cx="2124076" cy="491978"/>
            </a:xfrm>
            <a:prstGeom prst="rect">
              <a:avLst/>
            </a:prstGeom>
            <a:solidFill>
              <a:schemeClr val="accent3">
                <a:lumMod val="50000"/>
              </a:schemeClr>
            </a:solidFill>
            <a:ln w="9525" cmpd="sng">
              <a:solidFill>
                <a:schemeClr val="lt1">
                  <a:shade val="50000"/>
                </a:schemeClr>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fr-FR" sz="1100" b="1">
                  <a:solidFill>
                    <a:schemeClr val="bg1"/>
                  </a:solidFill>
                </a:rPr>
                <a:t>Vos cotisations</a:t>
              </a:r>
              <a:r>
                <a:rPr lang="fr-FR" sz="1100" b="1" baseline="0">
                  <a:solidFill>
                    <a:schemeClr val="bg1"/>
                  </a:solidFill>
                </a:rPr>
                <a:t> obligatoires</a:t>
              </a:r>
              <a:endParaRPr lang="fr-FR" sz="1100" b="1">
                <a:solidFill>
                  <a:schemeClr val="bg1"/>
                </a:solidFill>
              </a:endParaRPr>
            </a:p>
          </xdr:txBody>
        </xdr:sp>
        <xdr:sp macro="" textlink="">
          <xdr:nvSpPr>
            <xdr:cNvPr id="711" name="ZoneTexte 710">
              <a:hlinkClick xmlns:r="http://schemas.openxmlformats.org/officeDocument/2006/relationships" r:id="rId3"/>
            </xdr:cNvPr>
            <xdr:cNvSpPr txBox="1"/>
          </xdr:nvSpPr>
          <xdr:spPr>
            <a:xfrm>
              <a:off x="10358437" y="40137296"/>
              <a:ext cx="2124076" cy="491978"/>
            </a:xfrm>
            <a:prstGeom prst="rect">
              <a:avLst/>
            </a:prstGeom>
            <a:solidFill>
              <a:schemeClr val="accent3">
                <a:lumMod val="50000"/>
              </a:schemeClr>
            </a:solidFill>
            <a:ln w="9525" cmpd="sng">
              <a:solidFill>
                <a:schemeClr val="lt1">
                  <a:shade val="50000"/>
                </a:schemeClr>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fr-FR" sz="1100" b="1">
                  <a:solidFill>
                    <a:schemeClr val="bg1"/>
                  </a:solidFill>
                </a:rPr>
                <a:t>Votre</a:t>
              </a:r>
              <a:r>
                <a:rPr lang="fr-FR" sz="1100" b="1" baseline="0">
                  <a:solidFill>
                    <a:schemeClr val="bg1"/>
                  </a:solidFill>
                </a:rPr>
                <a:t> impôt sur le revenu</a:t>
              </a:r>
              <a:endParaRPr lang="fr-FR" sz="1100" b="1">
                <a:solidFill>
                  <a:schemeClr val="bg1"/>
                </a:solidFill>
              </a:endParaRPr>
            </a:p>
          </xdr:txBody>
        </xdr:sp>
        <xdr:sp macro="" textlink="">
          <xdr:nvSpPr>
            <xdr:cNvPr id="712" name="ZoneTexte 711">
              <a:hlinkClick xmlns:r="http://schemas.openxmlformats.org/officeDocument/2006/relationships" r:id="rId4"/>
            </xdr:cNvPr>
            <xdr:cNvSpPr txBox="1"/>
          </xdr:nvSpPr>
          <xdr:spPr>
            <a:xfrm>
              <a:off x="10358437" y="40659280"/>
              <a:ext cx="2124076" cy="491978"/>
            </a:xfrm>
            <a:prstGeom prst="rect">
              <a:avLst/>
            </a:prstGeom>
            <a:solidFill>
              <a:schemeClr val="accent3">
                <a:lumMod val="50000"/>
              </a:schemeClr>
            </a:solidFill>
            <a:ln w="9525" cmpd="sng">
              <a:solidFill>
                <a:schemeClr val="lt1">
                  <a:shade val="50000"/>
                </a:schemeClr>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fr-FR" sz="1100" b="1">
                  <a:solidFill>
                    <a:schemeClr val="bg1"/>
                  </a:solidFill>
                </a:rPr>
                <a:t>Récapitulatif</a:t>
              </a:r>
              <a:r>
                <a:rPr lang="fr-FR" sz="1100" b="1" baseline="0">
                  <a:solidFill>
                    <a:schemeClr val="bg1"/>
                  </a:solidFill>
                </a:rPr>
                <a:t> de vos prélèvements obligatoires</a:t>
              </a:r>
              <a:endParaRPr lang="fr-FR" sz="1100" b="1">
                <a:solidFill>
                  <a:schemeClr val="bg1"/>
                </a:solidFill>
              </a:endParaRPr>
            </a:p>
          </xdr:txBody>
        </xdr:sp>
        <xdr:sp macro="" textlink="">
          <xdr:nvSpPr>
            <xdr:cNvPr id="713" name="ZoneTexte 712">
              <a:hlinkClick xmlns:r="http://schemas.openxmlformats.org/officeDocument/2006/relationships" r:id="rId5"/>
            </xdr:cNvPr>
            <xdr:cNvSpPr txBox="1"/>
          </xdr:nvSpPr>
          <xdr:spPr>
            <a:xfrm>
              <a:off x="10358437" y="41159670"/>
              <a:ext cx="2124076" cy="491978"/>
            </a:xfrm>
            <a:prstGeom prst="rect">
              <a:avLst/>
            </a:prstGeom>
            <a:solidFill>
              <a:schemeClr val="accent3">
                <a:lumMod val="50000"/>
              </a:schemeClr>
            </a:solidFill>
            <a:ln w="9525" cmpd="sng">
              <a:solidFill>
                <a:schemeClr val="lt1">
                  <a:shade val="50000"/>
                </a:schemeClr>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fr-FR" sz="1100" b="1">
                  <a:solidFill>
                    <a:schemeClr val="bg1"/>
                  </a:solidFill>
                </a:rPr>
                <a:t>Votre équilibre financier</a:t>
              </a:r>
            </a:p>
          </xdr:txBody>
        </xdr:sp>
        <xdr:sp macro="" textlink="">
          <xdr:nvSpPr>
            <xdr:cNvPr id="714" name="ZoneTexte 713"/>
            <xdr:cNvSpPr txBox="1"/>
          </xdr:nvSpPr>
          <xdr:spPr>
            <a:xfrm>
              <a:off x="10506075" y="38860074"/>
              <a:ext cx="1828800" cy="2857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fr-FR" sz="1200" b="1"/>
                <a:t>Exercice individuel</a:t>
              </a:r>
            </a:p>
          </xdr:txBody>
        </xdr:sp>
        <xdr:sp macro="" textlink="">
          <xdr:nvSpPr>
            <xdr:cNvPr id="715" name="ZoneTexte 714">
              <a:hlinkClick xmlns:r="http://schemas.openxmlformats.org/officeDocument/2006/relationships" r:id="rId6"/>
            </xdr:cNvPr>
            <xdr:cNvSpPr txBox="1"/>
          </xdr:nvSpPr>
          <xdr:spPr>
            <a:xfrm>
              <a:off x="10358437" y="41961661"/>
              <a:ext cx="2124076" cy="428625"/>
            </a:xfrm>
            <a:prstGeom prst="rect">
              <a:avLst/>
            </a:prstGeom>
            <a:solidFill>
              <a:schemeClr val="accent6"/>
            </a:solidFill>
            <a:ln w="9525" cmpd="sng">
              <a:solidFill>
                <a:schemeClr val="lt1">
                  <a:shade val="50000"/>
                </a:schemeClr>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fr-FR" sz="1100">
                  <a:solidFill>
                    <a:schemeClr val="bg1"/>
                  </a:solidFill>
                </a:rPr>
                <a:t>Conséquences</a:t>
              </a:r>
              <a:r>
                <a:rPr lang="fr-FR" sz="1100" baseline="0">
                  <a:solidFill>
                    <a:schemeClr val="bg1"/>
                  </a:solidFill>
                </a:rPr>
                <a:t> du passage en SEL</a:t>
              </a:r>
              <a:endParaRPr lang="fr-FR" sz="1100">
                <a:solidFill>
                  <a:schemeClr val="bg1"/>
                </a:solidFill>
              </a:endParaRPr>
            </a:p>
          </xdr:txBody>
        </xdr:sp>
        <xdr:sp macro="" textlink="">
          <xdr:nvSpPr>
            <xdr:cNvPr id="716" name="ZoneTexte 715">
              <a:hlinkClick xmlns:r="http://schemas.openxmlformats.org/officeDocument/2006/relationships" r:id="rId7"/>
            </xdr:cNvPr>
            <xdr:cNvSpPr txBox="1"/>
          </xdr:nvSpPr>
          <xdr:spPr>
            <a:xfrm>
              <a:off x="10358437" y="42409337"/>
              <a:ext cx="2124076" cy="428625"/>
            </a:xfrm>
            <a:prstGeom prst="rect">
              <a:avLst/>
            </a:prstGeom>
            <a:solidFill>
              <a:schemeClr val="accent6"/>
            </a:solidFill>
            <a:ln w="9525" cmpd="sng">
              <a:solidFill>
                <a:schemeClr val="lt1">
                  <a:shade val="50000"/>
                </a:schemeClr>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fr-FR" sz="1100">
                  <a:solidFill>
                    <a:schemeClr val="bg1"/>
                  </a:solidFill>
                </a:rPr>
                <a:t>Les cotisations</a:t>
              </a:r>
              <a:r>
                <a:rPr lang="fr-FR" sz="1100" baseline="0">
                  <a:solidFill>
                    <a:schemeClr val="bg1"/>
                  </a:solidFill>
                </a:rPr>
                <a:t> sociales obligatoires du gérant</a:t>
              </a:r>
              <a:endParaRPr lang="fr-FR" sz="1100">
                <a:solidFill>
                  <a:schemeClr val="bg1"/>
                </a:solidFill>
              </a:endParaRPr>
            </a:p>
          </xdr:txBody>
        </xdr:sp>
        <xdr:sp macro="" textlink="">
          <xdr:nvSpPr>
            <xdr:cNvPr id="717" name="ZoneTexte 716">
              <a:hlinkClick xmlns:r="http://schemas.openxmlformats.org/officeDocument/2006/relationships" r:id="rId8"/>
            </xdr:cNvPr>
            <xdr:cNvSpPr txBox="1"/>
          </xdr:nvSpPr>
          <xdr:spPr>
            <a:xfrm>
              <a:off x="10358437" y="42857012"/>
              <a:ext cx="2124076" cy="419101"/>
            </a:xfrm>
            <a:prstGeom prst="rect">
              <a:avLst/>
            </a:prstGeom>
            <a:solidFill>
              <a:schemeClr val="accent6"/>
            </a:solidFill>
            <a:ln w="9525" cmpd="sng">
              <a:solidFill>
                <a:schemeClr val="lt1">
                  <a:shade val="50000"/>
                </a:schemeClr>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fr-FR" sz="1100">
                  <a:solidFill>
                    <a:schemeClr val="bg1"/>
                  </a:solidFill>
                </a:rPr>
                <a:t>Le compte de résultat</a:t>
              </a:r>
              <a:r>
                <a:rPr lang="fr-FR" sz="1100" baseline="0">
                  <a:solidFill>
                    <a:schemeClr val="bg1"/>
                  </a:solidFill>
                </a:rPr>
                <a:t> </a:t>
              </a:r>
              <a:endParaRPr lang="fr-FR" sz="1100">
                <a:solidFill>
                  <a:schemeClr val="bg1"/>
                </a:solidFill>
              </a:endParaRPr>
            </a:p>
          </xdr:txBody>
        </xdr:sp>
        <xdr:sp macro="" textlink="">
          <xdr:nvSpPr>
            <xdr:cNvPr id="718" name="ZoneTexte 717">
              <a:hlinkClick xmlns:r="http://schemas.openxmlformats.org/officeDocument/2006/relationships" r:id="rId9"/>
            </xdr:cNvPr>
            <xdr:cNvSpPr txBox="1"/>
          </xdr:nvSpPr>
          <xdr:spPr>
            <a:xfrm>
              <a:off x="10358437" y="43295163"/>
              <a:ext cx="2124076" cy="438149"/>
            </a:xfrm>
            <a:prstGeom prst="rect">
              <a:avLst/>
            </a:prstGeom>
            <a:solidFill>
              <a:schemeClr val="accent6"/>
            </a:solidFill>
            <a:ln w="9525" cmpd="sng">
              <a:solidFill>
                <a:schemeClr val="lt1">
                  <a:shade val="50000"/>
                </a:schemeClr>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fr-FR" sz="1100">
                  <a:solidFill>
                    <a:schemeClr val="bg1"/>
                  </a:solidFill>
                </a:rPr>
                <a:t>Imposition</a:t>
              </a:r>
              <a:r>
                <a:rPr lang="fr-FR" sz="1100" baseline="0">
                  <a:solidFill>
                    <a:schemeClr val="bg1"/>
                  </a:solidFill>
                </a:rPr>
                <a:t> personnelle du gérant</a:t>
              </a:r>
              <a:endParaRPr lang="fr-FR" sz="1100">
                <a:solidFill>
                  <a:schemeClr val="bg1"/>
                </a:solidFill>
              </a:endParaRPr>
            </a:p>
          </xdr:txBody>
        </xdr:sp>
        <xdr:sp macro="" textlink="">
          <xdr:nvSpPr>
            <xdr:cNvPr id="719" name="ZoneTexte 718"/>
            <xdr:cNvSpPr txBox="1"/>
          </xdr:nvSpPr>
          <xdr:spPr>
            <a:xfrm>
              <a:off x="10506075" y="41647338"/>
              <a:ext cx="1828800" cy="2857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fr-FR" sz="1200" b="1"/>
                <a:t>Exercice</a:t>
              </a:r>
              <a:r>
                <a:rPr lang="fr-FR" sz="1200" b="1" baseline="0"/>
                <a:t> en SEL</a:t>
              </a:r>
              <a:endParaRPr lang="fr-FR" sz="1200" b="1"/>
            </a:p>
          </xdr:txBody>
        </xdr:sp>
        <xdr:sp macro="" textlink="">
          <xdr:nvSpPr>
            <xdr:cNvPr id="720" name="Rectangle à coins arrondis 719"/>
            <xdr:cNvSpPr/>
          </xdr:nvSpPr>
          <xdr:spPr>
            <a:xfrm>
              <a:off x="10106025" y="38080947"/>
              <a:ext cx="2628900" cy="7719290"/>
            </a:xfrm>
            <a:prstGeom prst="roundRect">
              <a:avLst/>
            </a:prstGeom>
            <a:noFill/>
            <a:ln>
              <a:solidFill>
                <a:schemeClr val="tx2"/>
              </a:solidFill>
            </a:ln>
            <a:effectLst>
              <a:glow rad="63500">
                <a:schemeClr val="bg1">
                  <a:lumMod val="75000"/>
                  <a:alpha val="40000"/>
                </a:schemeClr>
              </a:glo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fr-FR" sz="1000"/>
                <a:t>c</a:t>
              </a:r>
            </a:p>
          </xdr:txBody>
        </xdr:sp>
        <xdr:sp macro="" textlink="">
          <xdr:nvSpPr>
            <xdr:cNvPr id="721" name="ZoneTexte 720">
              <a:hlinkClick xmlns:r="http://schemas.openxmlformats.org/officeDocument/2006/relationships" r:id="rId10"/>
            </xdr:cNvPr>
            <xdr:cNvSpPr txBox="1"/>
          </xdr:nvSpPr>
          <xdr:spPr>
            <a:xfrm>
              <a:off x="10358437" y="43752363"/>
              <a:ext cx="2124076" cy="428625"/>
            </a:xfrm>
            <a:prstGeom prst="rect">
              <a:avLst/>
            </a:prstGeom>
            <a:solidFill>
              <a:schemeClr val="accent6"/>
            </a:solidFill>
            <a:ln w="9525" cmpd="sng">
              <a:solidFill>
                <a:schemeClr val="lt1">
                  <a:shade val="50000"/>
                </a:schemeClr>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fr-FR" sz="1100">
                  <a:solidFill>
                    <a:schemeClr val="bg1"/>
                  </a:solidFill>
                </a:rPr>
                <a:t>Récapitulatif</a:t>
              </a:r>
              <a:r>
                <a:rPr lang="fr-FR" sz="1100" baseline="0">
                  <a:solidFill>
                    <a:schemeClr val="bg1"/>
                  </a:solidFill>
                </a:rPr>
                <a:t> des prélèvements obligatoires</a:t>
              </a:r>
              <a:endParaRPr lang="fr-FR" sz="1100">
                <a:solidFill>
                  <a:schemeClr val="bg1"/>
                </a:solidFill>
              </a:endParaRPr>
            </a:p>
          </xdr:txBody>
        </xdr:sp>
        <xdr:sp macro="" textlink="">
          <xdr:nvSpPr>
            <xdr:cNvPr id="722" name="ZoneTexte 721">
              <a:hlinkClick xmlns:r="http://schemas.openxmlformats.org/officeDocument/2006/relationships" r:id="rId11"/>
            </xdr:cNvPr>
            <xdr:cNvSpPr txBox="1"/>
          </xdr:nvSpPr>
          <xdr:spPr>
            <a:xfrm>
              <a:off x="10358437" y="44200038"/>
              <a:ext cx="2124076" cy="428625"/>
            </a:xfrm>
            <a:prstGeom prst="rect">
              <a:avLst/>
            </a:prstGeom>
            <a:solidFill>
              <a:schemeClr val="accent6"/>
            </a:solidFill>
            <a:ln w="9525" cmpd="sng">
              <a:solidFill>
                <a:schemeClr val="lt1">
                  <a:shade val="50000"/>
                </a:schemeClr>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fr-FR" sz="1100">
                  <a:solidFill>
                    <a:schemeClr val="bg1"/>
                  </a:solidFill>
                </a:rPr>
                <a:t>Equili</a:t>
              </a:r>
              <a:r>
                <a:rPr lang="fr-FR" sz="1100" baseline="0">
                  <a:solidFill>
                    <a:schemeClr val="bg1"/>
                  </a:solidFill>
                </a:rPr>
                <a:t>bre financier</a:t>
              </a:r>
              <a:endParaRPr lang="fr-FR" sz="1100">
                <a:solidFill>
                  <a:schemeClr val="bg1"/>
                </a:solidFill>
              </a:endParaRPr>
            </a:p>
          </xdr:txBody>
        </xdr:sp>
        <xdr:sp macro="" textlink="">
          <xdr:nvSpPr>
            <xdr:cNvPr id="723" name="ZoneTexte 722">
              <a:hlinkClick xmlns:r="http://schemas.openxmlformats.org/officeDocument/2006/relationships" r:id="rId12"/>
            </xdr:cNvPr>
            <xdr:cNvSpPr txBox="1"/>
          </xdr:nvSpPr>
          <xdr:spPr>
            <a:xfrm>
              <a:off x="10358437" y="44647712"/>
              <a:ext cx="2124076" cy="428625"/>
            </a:xfrm>
            <a:prstGeom prst="rect">
              <a:avLst/>
            </a:prstGeom>
            <a:solidFill>
              <a:schemeClr val="accent6"/>
            </a:solidFill>
            <a:ln w="9525" cmpd="sng">
              <a:solidFill>
                <a:schemeClr val="lt1">
                  <a:shade val="50000"/>
                </a:schemeClr>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fr-FR" sz="1100">
                  <a:solidFill>
                    <a:schemeClr val="bg1"/>
                  </a:solidFill>
                </a:rPr>
                <a:t>Revenu</a:t>
              </a:r>
              <a:r>
                <a:rPr lang="fr-FR" sz="1100" baseline="0">
                  <a:solidFill>
                    <a:schemeClr val="bg1"/>
                  </a:solidFill>
                </a:rPr>
                <a:t> disponible personnel</a:t>
              </a:r>
              <a:endParaRPr lang="fr-FR" sz="1100">
                <a:solidFill>
                  <a:schemeClr val="bg1"/>
                </a:solidFill>
              </a:endParaRPr>
            </a:p>
          </xdr:txBody>
        </xdr:sp>
        <xdr:sp macro="" textlink="">
          <xdr:nvSpPr>
            <xdr:cNvPr id="724" name="ZoneTexte 723">
              <a:hlinkClick xmlns:r="http://schemas.openxmlformats.org/officeDocument/2006/relationships" r:id="rId13"/>
            </xdr:cNvPr>
            <xdr:cNvSpPr txBox="1"/>
          </xdr:nvSpPr>
          <xdr:spPr>
            <a:xfrm>
              <a:off x="10358437" y="45266841"/>
              <a:ext cx="2124076" cy="428625"/>
            </a:xfrm>
            <a:prstGeom prst="rect">
              <a:avLst/>
            </a:prstGeom>
            <a:solidFill>
              <a:schemeClr val="tx2"/>
            </a:solidFill>
            <a:ln w="9525" cmpd="sng">
              <a:solidFill>
                <a:schemeClr val="lt1">
                  <a:shade val="50000"/>
                </a:schemeClr>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fr-FR" sz="1200" b="1">
                  <a:solidFill>
                    <a:schemeClr val="tx1"/>
                  </a:solidFill>
                </a:rPr>
                <a:t>Conclusion</a:t>
              </a:r>
            </a:p>
          </xdr:txBody>
        </xdr:sp>
        <xdr:sp macro="" textlink="">
          <xdr:nvSpPr>
            <xdr:cNvPr id="725" name="ZoneTexte 724">
              <a:hlinkClick xmlns:r="http://schemas.openxmlformats.org/officeDocument/2006/relationships" r:id="rId14"/>
            </xdr:cNvPr>
            <xdr:cNvSpPr txBox="1"/>
          </xdr:nvSpPr>
          <xdr:spPr>
            <a:xfrm>
              <a:off x="10363200" y="38347650"/>
              <a:ext cx="2124076" cy="428625"/>
            </a:xfrm>
            <a:prstGeom prst="rect">
              <a:avLst/>
            </a:prstGeom>
            <a:solidFill>
              <a:schemeClr val="tx2"/>
            </a:solidFill>
            <a:ln w="9525" cmpd="sng">
              <a:solidFill>
                <a:schemeClr val="lt1">
                  <a:shade val="50000"/>
                </a:schemeClr>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fr-FR" sz="1200" b="1">
                  <a:solidFill>
                    <a:schemeClr val="tx1"/>
                  </a:solidFill>
                </a:rPr>
                <a:t>Informations Client</a:t>
              </a:r>
            </a:p>
          </xdr:txBody>
        </xdr:sp>
        <xdr:sp macro="" textlink="">
          <xdr:nvSpPr>
            <xdr:cNvPr id="726" name="ZoneTexte 725"/>
            <xdr:cNvSpPr txBox="1"/>
          </xdr:nvSpPr>
          <xdr:spPr>
            <a:xfrm>
              <a:off x="10525125" y="37957125"/>
              <a:ext cx="1828800" cy="2857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fr-FR" sz="1600" b="1" u="sng">
                  <a:solidFill>
                    <a:schemeClr val="tx2"/>
                  </a:solidFill>
                </a:rPr>
                <a:t>Accès direct</a:t>
              </a:r>
            </a:p>
          </xdr:txBody>
        </xdr:sp>
      </xdr:grpSp>
      <xdr:sp macro="" textlink="">
        <xdr:nvSpPr>
          <xdr:cNvPr id="709" name="ZoneTexte 708">
            <a:hlinkClick xmlns:r="http://schemas.openxmlformats.org/officeDocument/2006/relationships" r:id="rId15"/>
          </xdr:cNvPr>
          <xdr:cNvSpPr txBox="1"/>
        </xdr:nvSpPr>
        <xdr:spPr>
          <a:xfrm>
            <a:off x="13425488" y="2345531"/>
            <a:ext cx="2118945" cy="462068"/>
          </a:xfrm>
          <a:prstGeom prst="rect">
            <a:avLst/>
          </a:prstGeom>
          <a:solidFill>
            <a:schemeClr val="accent3">
              <a:lumMod val="50000"/>
            </a:schemeClr>
          </a:solidFill>
          <a:ln w="9525" cmpd="sng">
            <a:solidFill>
              <a:schemeClr val="lt1">
                <a:shade val="50000"/>
              </a:schemeClr>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fr-FR" sz="1100" b="1">
                <a:solidFill>
                  <a:schemeClr val="bg1"/>
                </a:solidFill>
              </a:rPr>
              <a:t>Déclaration</a:t>
            </a:r>
            <a:r>
              <a:rPr lang="fr-FR" sz="1100" b="1" baseline="0">
                <a:solidFill>
                  <a:schemeClr val="bg1"/>
                </a:solidFill>
              </a:rPr>
              <a:t> 2035</a:t>
            </a:r>
            <a:endParaRPr lang="fr-FR" sz="1100" b="1">
              <a:solidFill>
                <a:schemeClr val="bg1"/>
              </a:solidFill>
            </a:endParaRPr>
          </a:p>
        </xdr:txBody>
      </xdr:sp>
    </xdr:grpSp>
    <xdr:clientData/>
  </xdr:twoCellAnchor>
  <xdr:twoCellAnchor>
    <xdr:from>
      <xdr:col>13</xdr:col>
      <xdr:colOff>238120</xdr:colOff>
      <xdr:row>560</xdr:row>
      <xdr:rowOff>0</xdr:rowOff>
    </xdr:from>
    <xdr:to>
      <xdr:col>16</xdr:col>
      <xdr:colOff>574670</xdr:colOff>
      <xdr:row>588</xdr:row>
      <xdr:rowOff>148430</xdr:rowOff>
    </xdr:to>
    <xdr:grpSp>
      <xdr:nvGrpSpPr>
        <xdr:cNvPr id="727" name="Groupe 726"/>
        <xdr:cNvGrpSpPr/>
      </xdr:nvGrpSpPr>
      <xdr:grpSpPr>
        <a:xfrm>
          <a:off x="13346901" y="127992188"/>
          <a:ext cx="2622550" cy="7399336"/>
          <a:chOff x="13173605" y="1266030"/>
          <a:chExt cx="2622550" cy="7399336"/>
        </a:xfrm>
      </xdr:grpSpPr>
      <xdr:grpSp>
        <xdr:nvGrpSpPr>
          <xdr:cNvPr id="728" name="Groupe 170"/>
          <xdr:cNvGrpSpPr/>
        </xdr:nvGrpSpPr>
        <xdr:grpSpPr>
          <a:xfrm>
            <a:off x="13173605" y="1266018"/>
            <a:ext cx="2622550" cy="7399334"/>
            <a:chOff x="10106025" y="37957125"/>
            <a:chExt cx="2628900" cy="7843112"/>
          </a:xfrm>
        </xdr:grpSpPr>
        <xdr:sp macro="" textlink="">
          <xdr:nvSpPr>
            <xdr:cNvPr id="730" name="ZoneTexte 729">
              <a:hlinkClick xmlns:r="http://schemas.openxmlformats.org/officeDocument/2006/relationships" r:id="rId2"/>
            </xdr:cNvPr>
            <xdr:cNvSpPr txBox="1"/>
          </xdr:nvSpPr>
          <xdr:spPr>
            <a:xfrm>
              <a:off x="10358437" y="39615312"/>
              <a:ext cx="2124076" cy="491978"/>
            </a:xfrm>
            <a:prstGeom prst="rect">
              <a:avLst/>
            </a:prstGeom>
            <a:solidFill>
              <a:schemeClr val="accent3">
                <a:lumMod val="50000"/>
              </a:schemeClr>
            </a:solidFill>
            <a:ln w="9525" cmpd="sng">
              <a:solidFill>
                <a:schemeClr val="lt1">
                  <a:shade val="50000"/>
                </a:schemeClr>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fr-FR" sz="1100" b="1">
                  <a:solidFill>
                    <a:schemeClr val="bg1"/>
                  </a:solidFill>
                </a:rPr>
                <a:t>Vos cotisations</a:t>
              </a:r>
              <a:r>
                <a:rPr lang="fr-FR" sz="1100" b="1" baseline="0">
                  <a:solidFill>
                    <a:schemeClr val="bg1"/>
                  </a:solidFill>
                </a:rPr>
                <a:t> obligatoires</a:t>
              </a:r>
              <a:endParaRPr lang="fr-FR" sz="1100" b="1">
                <a:solidFill>
                  <a:schemeClr val="bg1"/>
                </a:solidFill>
              </a:endParaRPr>
            </a:p>
          </xdr:txBody>
        </xdr:sp>
        <xdr:sp macro="" textlink="">
          <xdr:nvSpPr>
            <xdr:cNvPr id="731" name="ZoneTexte 730">
              <a:hlinkClick xmlns:r="http://schemas.openxmlformats.org/officeDocument/2006/relationships" r:id="rId3"/>
            </xdr:cNvPr>
            <xdr:cNvSpPr txBox="1"/>
          </xdr:nvSpPr>
          <xdr:spPr>
            <a:xfrm>
              <a:off x="10358437" y="40137296"/>
              <a:ext cx="2124076" cy="491978"/>
            </a:xfrm>
            <a:prstGeom prst="rect">
              <a:avLst/>
            </a:prstGeom>
            <a:solidFill>
              <a:schemeClr val="accent3">
                <a:lumMod val="50000"/>
              </a:schemeClr>
            </a:solidFill>
            <a:ln w="9525" cmpd="sng">
              <a:solidFill>
                <a:schemeClr val="lt1">
                  <a:shade val="50000"/>
                </a:schemeClr>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fr-FR" sz="1100" b="1">
                  <a:solidFill>
                    <a:schemeClr val="bg1"/>
                  </a:solidFill>
                </a:rPr>
                <a:t>Votre</a:t>
              </a:r>
              <a:r>
                <a:rPr lang="fr-FR" sz="1100" b="1" baseline="0">
                  <a:solidFill>
                    <a:schemeClr val="bg1"/>
                  </a:solidFill>
                </a:rPr>
                <a:t> impôt sur le revenu</a:t>
              </a:r>
              <a:endParaRPr lang="fr-FR" sz="1100" b="1">
                <a:solidFill>
                  <a:schemeClr val="bg1"/>
                </a:solidFill>
              </a:endParaRPr>
            </a:p>
          </xdr:txBody>
        </xdr:sp>
        <xdr:sp macro="" textlink="">
          <xdr:nvSpPr>
            <xdr:cNvPr id="732" name="ZoneTexte 731">
              <a:hlinkClick xmlns:r="http://schemas.openxmlformats.org/officeDocument/2006/relationships" r:id="rId4"/>
            </xdr:cNvPr>
            <xdr:cNvSpPr txBox="1"/>
          </xdr:nvSpPr>
          <xdr:spPr>
            <a:xfrm>
              <a:off x="10358437" y="40659280"/>
              <a:ext cx="2124076" cy="491978"/>
            </a:xfrm>
            <a:prstGeom prst="rect">
              <a:avLst/>
            </a:prstGeom>
            <a:solidFill>
              <a:schemeClr val="accent3">
                <a:lumMod val="50000"/>
              </a:schemeClr>
            </a:solidFill>
            <a:ln w="9525" cmpd="sng">
              <a:solidFill>
                <a:schemeClr val="lt1">
                  <a:shade val="50000"/>
                </a:schemeClr>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fr-FR" sz="1100" b="1">
                  <a:solidFill>
                    <a:schemeClr val="bg1"/>
                  </a:solidFill>
                </a:rPr>
                <a:t>Récapitulatif</a:t>
              </a:r>
              <a:r>
                <a:rPr lang="fr-FR" sz="1100" b="1" baseline="0">
                  <a:solidFill>
                    <a:schemeClr val="bg1"/>
                  </a:solidFill>
                </a:rPr>
                <a:t> de vos prélèvements obligatoires</a:t>
              </a:r>
              <a:endParaRPr lang="fr-FR" sz="1100" b="1">
                <a:solidFill>
                  <a:schemeClr val="bg1"/>
                </a:solidFill>
              </a:endParaRPr>
            </a:p>
          </xdr:txBody>
        </xdr:sp>
        <xdr:sp macro="" textlink="">
          <xdr:nvSpPr>
            <xdr:cNvPr id="733" name="ZoneTexte 732">
              <a:hlinkClick xmlns:r="http://schemas.openxmlformats.org/officeDocument/2006/relationships" r:id="rId5"/>
            </xdr:cNvPr>
            <xdr:cNvSpPr txBox="1"/>
          </xdr:nvSpPr>
          <xdr:spPr>
            <a:xfrm>
              <a:off x="10358437" y="41159670"/>
              <a:ext cx="2124076" cy="491978"/>
            </a:xfrm>
            <a:prstGeom prst="rect">
              <a:avLst/>
            </a:prstGeom>
            <a:solidFill>
              <a:schemeClr val="accent3">
                <a:lumMod val="50000"/>
              </a:schemeClr>
            </a:solidFill>
            <a:ln w="9525" cmpd="sng">
              <a:solidFill>
                <a:schemeClr val="lt1">
                  <a:shade val="50000"/>
                </a:schemeClr>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fr-FR" sz="1100" b="1">
                  <a:solidFill>
                    <a:schemeClr val="bg1"/>
                  </a:solidFill>
                </a:rPr>
                <a:t>Votre équilibre financier</a:t>
              </a:r>
            </a:p>
          </xdr:txBody>
        </xdr:sp>
        <xdr:sp macro="" textlink="">
          <xdr:nvSpPr>
            <xdr:cNvPr id="734" name="ZoneTexte 733"/>
            <xdr:cNvSpPr txBox="1"/>
          </xdr:nvSpPr>
          <xdr:spPr>
            <a:xfrm>
              <a:off x="10506075" y="38860074"/>
              <a:ext cx="1828800" cy="2857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fr-FR" sz="1200" b="1"/>
                <a:t>Exercice individuel</a:t>
              </a:r>
            </a:p>
          </xdr:txBody>
        </xdr:sp>
        <xdr:sp macro="" textlink="">
          <xdr:nvSpPr>
            <xdr:cNvPr id="735" name="ZoneTexte 734">
              <a:hlinkClick xmlns:r="http://schemas.openxmlformats.org/officeDocument/2006/relationships" r:id="rId6"/>
            </xdr:cNvPr>
            <xdr:cNvSpPr txBox="1"/>
          </xdr:nvSpPr>
          <xdr:spPr>
            <a:xfrm>
              <a:off x="10358437" y="41961661"/>
              <a:ext cx="2124076" cy="428625"/>
            </a:xfrm>
            <a:prstGeom prst="rect">
              <a:avLst/>
            </a:prstGeom>
            <a:solidFill>
              <a:schemeClr val="accent6"/>
            </a:solidFill>
            <a:ln w="9525" cmpd="sng">
              <a:solidFill>
                <a:schemeClr val="lt1">
                  <a:shade val="50000"/>
                </a:schemeClr>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fr-FR" sz="1100">
                  <a:solidFill>
                    <a:schemeClr val="bg1"/>
                  </a:solidFill>
                </a:rPr>
                <a:t>Conséquences</a:t>
              </a:r>
              <a:r>
                <a:rPr lang="fr-FR" sz="1100" baseline="0">
                  <a:solidFill>
                    <a:schemeClr val="bg1"/>
                  </a:solidFill>
                </a:rPr>
                <a:t> du passage en SEL</a:t>
              </a:r>
              <a:endParaRPr lang="fr-FR" sz="1100">
                <a:solidFill>
                  <a:schemeClr val="bg1"/>
                </a:solidFill>
              </a:endParaRPr>
            </a:p>
          </xdr:txBody>
        </xdr:sp>
        <xdr:sp macro="" textlink="">
          <xdr:nvSpPr>
            <xdr:cNvPr id="736" name="ZoneTexte 735">
              <a:hlinkClick xmlns:r="http://schemas.openxmlformats.org/officeDocument/2006/relationships" r:id="rId7"/>
            </xdr:cNvPr>
            <xdr:cNvSpPr txBox="1"/>
          </xdr:nvSpPr>
          <xdr:spPr>
            <a:xfrm>
              <a:off x="10358437" y="42409337"/>
              <a:ext cx="2124076" cy="428625"/>
            </a:xfrm>
            <a:prstGeom prst="rect">
              <a:avLst/>
            </a:prstGeom>
            <a:solidFill>
              <a:schemeClr val="accent6"/>
            </a:solidFill>
            <a:ln w="9525" cmpd="sng">
              <a:solidFill>
                <a:schemeClr val="lt1">
                  <a:shade val="50000"/>
                </a:schemeClr>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fr-FR" sz="1100">
                  <a:solidFill>
                    <a:schemeClr val="bg1"/>
                  </a:solidFill>
                </a:rPr>
                <a:t>Les cotisations</a:t>
              </a:r>
              <a:r>
                <a:rPr lang="fr-FR" sz="1100" baseline="0">
                  <a:solidFill>
                    <a:schemeClr val="bg1"/>
                  </a:solidFill>
                </a:rPr>
                <a:t> sociales obligatoires du gérant</a:t>
              </a:r>
              <a:endParaRPr lang="fr-FR" sz="1100">
                <a:solidFill>
                  <a:schemeClr val="bg1"/>
                </a:solidFill>
              </a:endParaRPr>
            </a:p>
          </xdr:txBody>
        </xdr:sp>
        <xdr:sp macro="" textlink="">
          <xdr:nvSpPr>
            <xdr:cNvPr id="737" name="ZoneTexte 736">
              <a:hlinkClick xmlns:r="http://schemas.openxmlformats.org/officeDocument/2006/relationships" r:id="rId8"/>
            </xdr:cNvPr>
            <xdr:cNvSpPr txBox="1"/>
          </xdr:nvSpPr>
          <xdr:spPr>
            <a:xfrm>
              <a:off x="10358437" y="42857012"/>
              <a:ext cx="2124076" cy="419101"/>
            </a:xfrm>
            <a:prstGeom prst="rect">
              <a:avLst/>
            </a:prstGeom>
            <a:solidFill>
              <a:schemeClr val="accent6"/>
            </a:solidFill>
            <a:ln w="9525" cmpd="sng">
              <a:solidFill>
                <a:schemeClr val="lt1">
                  <a:shade val="50000"/>
                </a:schemeClr>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fr-FR" sz="1100">
                  <a:solidFill>
                    <a:schemeClr val="bg1"/>
                  </a:solidFill>
                </a:rPr>
                <a:t>Le compte de résultat</a:t>
              </a:r>
              <a:r>
                <a:rPr lang="fr-FR" sz="1100" baseline="0">
                  <a:solidFill>
                    <a:schemeClr val="bg1"/>
                  </a:solidFill>
                </a:rPr>
                <a:t> </a:t>
              </a:r>
              <a:endParaRPr lang="fr-FR" sz="1100">
                <a:solidFill>
                  <a:schemeClr val="bg1"/>
                </a:solidFill>
              </a:endParaRPr>
            </a:p>
          </xdr:txBody>
        </xdr:sp>
        <xdr:sp macro="" textlink="">
          <xdr:nvSpPr>
            <xdr:cNvPr id="738" name="ZoneTexte 737">
              <a:hlinkClick xmlns:r="http://schemas.openxmlformats.org/officeDocument/2006/relationships" r:id="rId9"/>
            </xdr:cNvPr>
            <xdr:cNvSpPr txBox="1"/>
          </xdr:nvSpPr>
          <xdr:spPr>
            <a:xfrm>
              <a:off x="10358437" y="43295163"/>
              <a:ext cx="2124076" cy="438149"/>
            </a:xfrm>
            <a:prstGeom prst="rect">
              <a:avLst/>
            </a:prstGeom>
            <a:solidFill>
              <a:schemeClr val="accent6"/>
            </a:solidFill>
            <a:ln w="9525" cmpd="sng">
              <a:solidFill>
                <a:schemeClr val="lt1">
                  <a:shade val="50000"/>
                </a:schemeClr>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fr-FR" sz="1100">
                  <a:solidFill>
                    <a:schemeClr val="bg1"/>
                  </a:solidFill>
                </a:rPr>
                <a:t>Imposition</a:t>
              </a:r>
              <a:r>
                <a:rPr lang="fr-FR" sz="1100" baseline="0">
                  <a:solidFill>
                    <a:schemeClr val="bg1"/>
                  </a:solidFill>
                </a:rPr>
                <a:t> personnelle du gérant</a:t>
              </a:r>
              <a:endParaRPr lang="fr-FR" sz="1100">
                <a:solidFill>
                  <a:schemeClr val="bg1"/>
                </a:solidFill>
              </a:endParaRPr>
            </a:p>
          </xdr:txBody>
        </xdr:sp>
        <xdr:sp macro="" textlink="">
          <xdr:nvSpPr>
            <xdr:cNvPr id="739" name="ZoneTexte 738"/>
            <xdr:cNvSpPr txBox="1"/>
          </xdr:nvSpPr>
          <xdr:spPr>
            <a:xfrm>
              <a:off x="10506075" y="41647338"/>
              <a:ext cx="1828800" cy="2857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fr-FR" sz="1200" b="1"/>
                <a:t>Exercice</a:t>
              </a:r>
              <a:r>
                <a:rPr lang="fr-FR" sz="1200" b="1" baseline="0"/>
                <a:t> en SEL</a:t>
              </a:r>
              <a:endParaRPr lang="fr-FR" sz="1200" b="1"/>
            </a:p>
          </xdr:txBody>
        </xdr:sp>
        <xdr:sp macro="" textlink="">
          <xdr:nvSpPr>
            <xdr:cNvPr id="740" name="Rectangle à coins arrondis 739"/>
            <xdr:cNvSpPr/>
          </xdr:nvSpPr>
          <xdr:spPr>
            <a:xfrm>
              <a:off x="10106025" y="38080947"/>
              <a:ext cx="2628900" cy="7719290"/>
            </a:xfrm>
            <a:prstGeom prst="roundRect">
              <a:avLst/>
            </a:prstGeom>
            <a:noFill/>
            <a:ln>
              <a:solidFill>
                <a:schemeClr val="tx2"/>
              </a:solidFill>
            </a:ln>
            <a:effectLst>
              <a:glow rad="63500">
                <a:schemeClr val="bg1">
                  <a:lumMod val="75000"/>
                  <a:alpha val="40000"/>
                </a:schemeClr>
              </a:glo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fr-FR" sz="1000"/>
                <a:t>c</a:t>
              </a:r>
            </a:p>
          </xdr:txBody>
        </xdr:sp>
        <xdr:sp macro="" textlink="">
          <xdr:nvSpPr>
            <xdr:cNvPr id="741" name="ZoneTexte 740">
              <a:hlinkClick xmlns:r="http://schemas.openxmlformats.org/officeDocument/2006/relationships" r:id="rId10"/>
            </xdr:cNvPr>
            <xdr:cNvSpPr txBox="1"/>
          </xdr:nvSpPr>
          <xdr:spPr>
            <a:xfrm>
              <a:off x="10358437" y="43752363"/>
              <a:ext cx="2124076" cy="428625"/>
            </a:xfrm>
            <a:prstGeom prst="rect">
              <a:avLst/>
            </a:prstGeom>
            <a:solidFill>
              <a:schemeClr val="accent6"/>
            </a:solidFill>
            <a:ln w="9525" cmpd="sng">
              <a:solidFill>
                <a:schemeClr val="lt1">
                  <a:shade val="50000"/>
                </a:schemeClr>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fr-FR" sz="1100">
                  <a:solidFill>
                    <a:schemeClr val="bg1"/>
                  </a:solidFill>
                </a:rPr>
                <a:t>Récapitulatif</a:t>
              </a:r>
              <a:r>
                <a:rPr lang="fr-FR" sz="1100" baseline="0">
                  <a:solidFill>
                    <a:schemeClr val="bg1"/>
                  </a:solidFill>
                </a:rPr>
                <a:t> des prélèvements obligatoires</a:t>
              </a:r>
              <a:endParaRPr lang="fr-FR" sz="1100">
                <a:solidFill>
                  <a:schemeClr val="bg1"/>
                </a:solidFill>
              </a:endParaRPr>
            </a:p>
          </xdr:txBody>
        </xdr:sp>
        <xdr:sp macro="" textlink="">
          <xdr:nvSpPr>
            <xdr:cNvPr id="742" name="ZoneTexte 741">
              <a:hlinkClick xmlns:r="http://schemas.openxmlformats.org/officeDocument/2006/relationships" r:id="rId11"/>
            </xdr:cNvPr>
            <xdr:cNvSpPr txBox="1"/>
          </xdr:nvSpPr>
          <xdr:spPr>
            <a:xfrm>
              <a:off x="10358437" y="44200038"/>
              <a:ext cx="2124076" cy="428625"/>
            </a:xfrm>
            <a:prstGeom prst="rect">
              <a:avLst/>
            </a:prstGeom>
            <a:solidFill>
              <a:schemeClr val="accent6"/>
            </a:solidFill>
            <a:ln w="9525" cmpd="sng">
              <a:solidFill>
                <a:schemeClr val="lt1">
                  <a:shade val="50000"/>
                </a:schemeClr>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fr-FR" sz="1100">
                  <a:solidFill>
                    <a:schemeClr val="bg1"/>
                  </a:solidFill>
                </a:rPr>
                <a:t>Equili</a:t>
              </a:r>
              <a:r>
                <a:rPr lang="fr-FR" sz="1100" baseline="0">
                  <a:solidFill>
                    <a:schemeClr val="bg1"/>
                  </a:solidFill>
                </a:rPr>
                <a:t>bre financier</a:t>
              </a:r>
              <a:endParaRPr lang="fr-FR" sz="1100">
                <a:solidFill>
                  <a:schemeClr val="bg1"/>
                </a:solidFill>
              </a:endParaRPr>
            </a:p>
          </xdr:txBody>
        </xdr:sp>
        <xdr:sp macro="" textlink="">
          <xdr:nvSpPr>
            <xdr:cNvPr id="743" name="ZoneTexte 742">
              <a:hlinkClick xmlns:r="http://schemas.openxmlformats.org/officeDocument/2006/relationships" r:id="rId12"/>
            </xdr:cNvPr>
            <xdr:cNvSpPr txBox="1"/>
          </xdr:nvSpPr>
          <xdr:spPr>
            <a:xfrm>
              <a:off x="10358437" y="44647712"/>
              <a:ext cx="2124076" cy="428625"/>
            </a:xfrm>
            <a:prstGeom prst="rect">
              <a:avLst/>
            </a:prstGeom>
            <a:solidFill>
              <a:schemeClr val="accent6"/>
            </a:solidFill>
            <a:ln w="9525" cmpd="sng">
              <a:solidFill>
                <a:schemeClr val="lt1">
                  <a:shade val="50000"/>
                </a:schemeClr>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fr-FR" sz="1100">
                  <a:solidFill>
                    <a:schemeClr val="bg1"/>
                  </a:solidFill>
                </a:rPr>
                <a:t>Revenu</a:t>
              </a:r>
              <a:r>
                <a:rPr lang="fr-FR" sz="1100" baseline="0">
                  <a:solidFill>
                    <a:schemeClr val="bg1"/>
                  </a:solidFill>
                </a:rPr>
                <a:t> disponible personnel</a:t>
              </a:r>
              <a:endParaRPr lang="fr-FR" sz="1100">
                <a:solidFill>
                  <a:schemeClr val="bg1"/>
                </a:solidFill>
              </a:endParaRPr>
            </a:p>
          </xdr:txBody>
        </xdr:sp>
        <xdr:sp macro="" textlink="">
          <xdr:nvSpPr>
            <xdr:cNvPr id="744" name="ZoneTexte 743">
              <a:hlinkClick xmlns:r="http://schemas.openxmlformats.org/officeDocument/2006/relationships" r:id="rId13"/>
            </xdr:cNvPr>
            <xdr:cNvSpPr txBox="1"/>
          </xdr:nvSpPr>
          <xdr:spPr>
            <a:xfrm>
              <a:off x="10358437" y="45266841"/>
              <a:ext cx="2124076" cy="428625"/>
            </a:xfrm>
            <a:prstGeom prst="rect">
              <a:avLst/>
            </a:prstGeom>
            <a:solidFill>
              <a:schemeClr val="tx2"/>
            </a:solidFill>
            <a:ln w="9525" cmpd="sng">
              <a:solidFill>
                <a:schemeClr val="lt1">
                  <a:shade val="50000"/>
                </a:schemeClr>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fr-FR" sz="1200" b="1">
                  <a:solidFill>
                    <a:schemeClr val="tx1"/>
                  </a:solidFill>
                </a:rPr>
                <a:t>Conclusion</a:t>
              </a:r>
            </a:p>
          </xdr:txBody>
        </xdr:sp>
        <xdr:sp macro="" textlink="">
          <xdr:nvSpPr>
            <xdr:cNvPr id="745" name="ZoneTexte 744">
              <a:hlinkClick xmlns:r="http://schemas.openxmlformats.org/officeDocument/2006/relationships" r:id="rId14"/>
            </xdr:cNvPr>
            <xdr:cNvSpPr txBox="1"/>
          </xdr:nvSpPr>
          <xdr:spPr>
            <a:xfrm>
              <a:off x="10363200" y="38347650"/>
              <a:ext cx="2124076" cy="428625"/>
            </a:xfrm>
            <a:prstGeom prst="rect">
              <a:avLst/>
            </a:prstGeom>
            <a:solidFill>
              <a:schemeClr val="tx2"/>
            </a:solidFill>
            <a:ln w="9525" cmpd="sng">
              <a:solidFill>
                <a:schemeClr val="lt1">
                  <a:shade val="50000"/>
                </a:schemeClr>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fr-FR" sz="1200" b="1">
                  <a:solidFill>
                    <a:schemeClr val="tx1"/>
                  </a:solidFill>
                </a:rPr>
                <a:t>Informations Client</a:t>
              </a:r>
            </a:p>
          </xdr:txBody>
        </xdr:sp>
        <xdr:sp macro="" textlink="">
          <xdr:nvSpPr>
            <xdr:cNvPr id="746" name="ZoneTexte 745"/>
            <xdr:cNvSpPr txBox="1"/>
          </xdr:nvSpPr>
          <xdr:spPr>
            <a:xfrm>
              <a:off x="10525125" y="37957125"/>
              <a:ext cx="1828800" cy="2857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fr-FR" sz="1600" b="1" u="sng">
                  <a:solidFill>
                    <a:schemeClr val="tx2"/>
                  </a:solidFill>
                </a:rPr>
                <a:t>Accès direct</a:t>
              </a:r>
            </a:p>
          </xdr:txBody>
        </xdr:sp>
      </xdr:grpSp>
      <xdr:sp macro="" textlink="">
        <xdr:nvSpPr>
          <xdr:cNvPr id="729" name="ZoneTexte 728">
            <a:hlinkClick xmlns:r="http://schemas.openxmlformats.org/officeDocument/2006/relationships" r:id="rId15"/>
          </xdr:cNvPr>
          <xdr:cNvSpPr txBox="1"/>
        </xdr:nvSpPr>
        <xdr:spPr>
          <a:xfrm>
            <a:off x="13425488" y="2345531"/>
            <a:ext cx="2118945" cy="462068"/>
          </a:xfrm>
          <a:prstGeom prst="rect">
            <a:avLst/>
          </a:prstGeom>
          <a:solidFill>
            <a:schemeClr val="accent3">
              <a:lumMod val="50000"/>
            </a:schemeClr>
          </a:solidFill>
          <a:ln w="9525" cmpd="sng">
            <a:solidFill>
              <a:schemeClr val="lt1">
                <a:shade val="50000"/>
              </a:schemeClr>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fr-FR" sz="1100" b="1">
                <a:solidFill>
                  <a:schemeClr val="bg1"/>
                </a:solidFill>
              </a:rPr>
              <a:t>Déclaration</a:t>
            </a:r>
            <a:r>
              <a:rPr lang="fr-FR" sz="1100" b="1" baseline="0">
                <a:solidFill>
                  <a:schemeClr val="bg1"/>
                </a:solidFill>
              </a:rPr>
              <a:t> 2035</a:t>
            </a:r>
            <a:endParaRPr lang="fr-FR" sz="1100" b="1">
              <a:solidFill>
                <a:schemeClr val="bg1"/>
              </a:solidFill>
            </a:endParaRPr>
          </a:p>
        </xdr:txBody>
      </xdr:sp>
    </xdr:grpSp>
    <xdr:clientData/>
  </xdr:twoCellAnchor>
  <mc:AlternateContent xmlns:mc="http://schemas.openxmlformats.org/markup-compatibility/2006">
    <mc:Choice xmlns:a14="http://schemas.microsoft.com/office/drawing/2010/main" Requires="a14">
      <xdr:twoCellAnchor editAs="oneCell">
        <xdr:from>
          <xdr:col>1</xdr:col>
          <xdr:colOff>0</xdr:colOff>
          <xdr:row>292</xdr:row>
          <xdr:rowOff>180975</xdr:rowOff>
        </xdr:from>
        <xdr:to>
          <xdr:col>1</xdr:col>
          <xdr:colOff>533400</xdr:colOff>
          <xdr:row>293</xdr:row>
          <xdr:rowOff>247650</xdr:rowOff>
        </xdr:to>
        <xdr:sp macro="" textlink="">
          <xdr:nvSpPr>
            <xdr:cNvPr id="1034" name="Object 10" hidden="1">
              <a:extLst>
                <a:ext uri="{63B3BB69-23CF-44E3-9099-C40C66FF867C}">
                  <a14:compatExt spid="_x0000_s103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342</xdr:row>
          <xdr:rowOff>0</xdr:rowOff>
        </xdr:from>
        <xdr:to>
          <xdr:col>1</xdr:col>
          <xdr:colOff>85725</xdr:colOff>
          <xdr:row>343</xdr:row>
          <xdr:rowOff>28575</xdr:rowOff>
        </xdr:to>
        <xdr:sp macro="" textlink="">
          <xdr:nvSpPr>
            <xdr:cNvPr id="1035" name="Object 11" hidden="1">
              <a:extLst>
                <a:ext uri="{63B3BB69-23CF-44E3-9099-C40C66FF867C}">
                  <a14:compatExt spid="_x0000_s1035"/>
                </a:ext>
              </a:extLst>
            </xdr:cNvPr>
            <xdr:cNvSpPr/>
          </xdr:nvSpPr>
          <xdr:spPr>
            <a:xfrm>
              <a:off x="0" y="0"/>
              <a:ext cx="0" cy="0"/>
            </a:xfrm>
            <a:prstGeom prst="rect">
              <a:avLst/>
            </a:prstGeom>
          </xdr:spPr>
        </xdr:sp>
        <xdr:clientData/>
      </xdr:twoCellAnchor>
    </mc:Choice>
    <mc:Fallback/>
  </mc:AlternateContent>
</xdr:wsDr>
</file>

<file path=xl/theme/theme1.xml><?xml version="1.0" encoding="utf-8"?>
<a:theme xmlns:a="http://schemas.openxmlformats.org/drawingml/2006/main" name="Thème Office">
  <a:themeElements>
    <a:clrScheme name="CSOEC">
      <a:dk1>
        <a:srgbClr val="E31C18"/>
      </a:dk1>
      <a:lt1>
        <a:sysClr val="window" lastClr="FFFFFF"/>
      </a:lt1>
      <a:dk2>
        <a:srgbClr val="8F9092"/>
      </a:dk2>
      <a:lt2>
        <a:srgbClr val="D3D4D5"/>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oleObject" Target="../embeddings/oleObject2.bin"/><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image" Target="../media/image1.emf"/><Relationship Id="rId5" Type="http://schemas.openxmlformats.org/officeDocument/2006/relationships/oleObject" Target="../embeddings/oleObject1.bin"/><Relationship Id="rId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pageSetUpPr fitToPage="1"/>
  </sheetPr>
  <dimension ref="B2:B24"/>
  <sheetViews>
    <sheetView showGridLines="0" showRowColHeaders="0" topLeftCell="A16" zoomScale="90" zoomScaleNormal="90" workbookViewId="0">
      <selection activeCell="B4" sqref="B4"/>
    </sheetView>
  </sheetViews>
  <sheetFormatPr baseColWidth="10" defaultRowHeight="15" x14ac:dyDescent="0.3"/>
  <cols>
    <col min="1" max="1" width="11.42578125" style="313"/>
    <col min="2" max="2" width="148.5703125" style="316" customWidth="1"/>
    <col min="3" max="16384" width="11.42578125" style="313"/>
  </cols>
  <sheetData>
    <row r="2" spans="2:2" s="317" customFormat="1" ht="39.75" customHeight="1" x14ac:dyDescent="0.2">
      <c r="B2" s="489" t="s">
        <v>761</v>
      </c>
    </row>
    <row r="3" spans="2:2" ht="18" x14ac:dyDescent="0.35">
      <c r="B3" s="498"/>
    </row>
    <row r="4" spans="2:2" ht="46.5" x14ac:dyDescent="0.35">
      <c r="B4" s="492" t="s">
        <v>765</v>
      </c>
    </row>
    <row r="5" spans="2:2" ht="18" x14ac:dyDescent="0.35">
      <c r="B5" s="315"/>
    </row>
    <row r="7" spans="2:2" ht="93" x14ac:dyDescent="0.35">
      <c r="B7" s="497" t="s">
        <v>764</v>
      </c>
    </row>
    <row r="9" spans="2:2" ht="46.5" x14ac:dyDescent="0.3">
      <c r="B9" s="493" t="s">
        <v>759</v>
      </c>
    </row>
    <row r="10" spans="2:2" x14ac:dyDescent="0.3">
      <c r="B10" s="494"/>
    </row>
    <row r="11" spans="2:2" ht="23.25" x14ac:dyDescent="0.3">
      <c r="B11" s="495" t="s">
        <v>762</v>
      </c>
    </row>
    <row r="12" spans="2:2" ht="93.75" x14ac:dyDescent="0.3">
      <c r="B12" s="496" t="s">
        <v>760</v>
      </c>
    </row>
    <row r="13" spans="2:2" ht="18" x14ac:dyDescent="0.35">
      <c r="B13" s="315"/>
    </row>
    <row r="14" spans="2:2" ht="18" x14ac:dyDescent="0.35">
      <c r="B14" s="315"/>
    </row>
    <row r="15" spans="2:2" x14ac:dyDescent="0.3">
      <c r="B15" s="319" t="s">
        <v>763</v>
      </c>
    </row>
    <row r="16" spans="2:2" ht="18" x14ac:dyDescent="0.35">
      <c r="B16" s="315"/>
    </row>
    <row r="17" spans="2:2" ht="18" x14ac:dyDescent="0.35">
      <c r="B17" s="315"/>
    </row>
    <row r="19" spans="2:2" ht="18" x14ac:dyDescent="0.35">
      <c r="B19" s="315"/>
    </row>
    <row r="20" spans="2:2" ht="18" x14ac:dyDescent="0.35">
      <c r="B20" s="315"/>
    </row>
    <row r="21" spans="2:2" ht="18" x14ac:dyDescent="0.35">
      <c r="B21" s="318"/>
    </row>
    <row r="22" spans="2:2" ht="18" x14ac:dyDescent="0.35">
      <c r="B22" s="318"/>
    </row>
    <row r="23" spans="2:2" ht="18" x14ac:dyDescent="0.35">
      <c r="B23" s="318"/>
    </row>
    <row r="24" spans="2:2" ht="18" x14ac:dyDescent="0.35">
      <c r="B24" s="318"/>
    </row>
  </sheetData>
  <sheetProtection selectLockedCells="1"/>
  <hyperlinks>
    <hyperlink ref="B15" location="'Note Liminaire'!A1" display="Accéder au simulateur"/>
  </hyperlinks>
  <pageMargins left="0.78740157499999996" right="0.78740157499999996" top="0.984251969" bottom="0.984251969" header="0.4921259845" footer="0.4921259845"/>
  <pageSetup paperSize="9" scale="65"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9"/>
  <dimension ref="A1"/>
  <sheetViews>
    <sheetView workbookViewId="0"/>
  </sheetViews>
  <sheetFormatPr baseColWidth="10" defaultRowHeight="12.75" x14ac:dyDescent="0.2"/>
  <sheetData/>
  <phoneticPr fontId="10"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enableFormatConditionsCalculation="0">
    <tabColor indexed="10"/>
    <pageSetUpPr fitToPage="1"/>
  </sheetPr>
  <dimension ref="B2:B26"/>
  <sheetViews>
    <sheetView showGridLines="0" showRowColHeaders="0" zoomScale="90" zoomScaleNormal="90" workbookViewId="0">
      <selection activeCell="B16" sqref="B16"/>
    </sheetView>
  </sheetViews>
  <sheetFormatPr baseColWidth="10" defaultRowHeight="15" x14ac:dyDescent="0.3"/>
  <cols>
    <col min="1" max="1" width="11.42578125" style="313"/>
    <col min="2" max="2" width="148.5703125" style="316" customWidth="1"/>
    <col min="3" max="16384" width="11.42578125" style="313"/>
  </cols>
  <sheetData>
    <row r="2" spans="2:2" s="317" customFormat="1" ht="39.75" customHeight="1" x14ac:dyDescent="0.2">
      <c r="B2" s="489" t="s">
        <v>246</v>
      </c>
    </row>
    <row r="3" spans="2:2" ht="18" x14ac:dyDescent="0.35">
      <c r="B3" s="314"/>
    </row>
    <row r="4" spans="2:2" ht="36" x14ac:dyDescent="0.35">
      <c r="B4" s="315" t="s">
        <v>663</v>
      </c>
    </row>
    <row r="5" spans="2:2" ht="18" x14ac:dyDescent="0.35">
      <c r="B5" s="315"/>
    </row>
    <row r="6" spans="2:2" ht="36" x14ac:dyDescent="0.35">
      <c r="B6" s="315" t="s">
        <v>247</v>
      </c>
    </row>
    <row r="7" spans="2:2" ht="18" x14ac:dyDescent="0.35">
      <c r="B7" s="315"/>
    </row>
    <row r="8" spans="2:2" ht="54" x14ac:dyDescent="0.35">
      <c r="B8" s="315" t="s">
        <v>766</v>
      </c>
    </row>
    <row r="9" spans="2:2" ht="18" x14ac:dyDescent="0.35">
      <c r="B9" s="315"/>
    </row>
    <row r="10" spans="2:2" ht="72" x14ac:dyDescent="0.35">
      <c r="B10" s="315" t="s">
        <v>661</v>
      </c>
    </row>
    <row r="11" spans="2:2" ht="18" x14ac:dyDescent="0.35">
      <c r="B11" s="315"/>
    </row>
    <row r="12" spans="2:2" ht="72" x14ac:dyDescent="0.35">
      <c r="B12" s="315" t="s">
        <v>666</v>
      </c>
    </row>
    <row r="13" spans="2:2" ht="18" x14ac:dyDescent="0.35">
      <c r="B13" s="315"/>
    </row>
    <row r="14" spans="2:2" ht="36" x14ac:dyDescent="0.35">
      <c r="B14" s="315" t="s">
        <v>662</v>
      </c>
    </row>
    <row r="15" spans="2:2" ht="18" x14ac:dyDescent="0.35">
      <c r="B15" s="315"/>
    </row>
    <row r="16" spans="2:2" ht="54" x14ac:dyDescent="0.35">
      <c r="B16" s="315" t="s">
        <v>664</v>
      </c>
    </row>
    <row r="17" spans="2:2" ht="18" x14ac:dyDescent="0.35">
      <c r="B17" s="315"/>
    </row>
    <row r="18" spans="2:2" ht="18" x14ac:dyDescent="0.35">
      <c r="B18" s="315"/>
    </row>
    <row r="19" spans="2:2" ht="18" x14ac:dyDescent="0.35">
      <c r="B19" s="315" t="s">
        <v>248</v>
      </c>
    </row>
    <row r="20" spans="2:2" ht="18" x14ac:dyDescent="0.35">
      <c r="B20" s="315" t="s">
        <v>691</v>
      </c>
    </row>
    <row r="21" spans="2:2" ht="18" x14ac:dyDescent="0.35">
      <c r="B21" s="318" t="s">
        <v>250</v>
      </c>
    </row>
    <row r="22" spans="2:2" ht="18" x14ac:dyDescent="0.35">
      <c r="B22" s="318" t="s">
        <v>249</v>
      </c>
    </row>
    <row r="23" spans="2:2" ht="18" x14ac:dyDescent="0.35">
      <c r="B23" s="318" t="s">
        <v>251</v>
      </c>
    </row>
    <row r="24" spans="2:2" ht="18" x14ac:dyDescent="0.35">
      <c r="B24" s="318" t="s">
        <v>665</v>
      </c>
    </row>
    <row r="26" spans="2:2" x14ac:dyDescent="0.3">
      <c r="B26" s="319" t="s">
        <v>692</v>
      </c>
    </row>
  </sheetData>
  <sheetProtection selectLockedCells="1"/>
  <phoneticPr fontId="9" type="noConversion"/>
  <hyperlinks>
    <hyperlink ref="B26" location="simulateur!A1" display="Accéder au simulateur"/>
  </hyperlinks>
  <pageMargins left="0.78740157499999996" right="0.78740157499999996" top="0.984251969" bottom="0.984251969" header="0.4921259845" footer="0.4921259845"/>
  <pageSetup paperSize="9" scale="65"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2" enableFormatConditionsCalculation="0">
    <tabColor indexed="43"/>
    <pageSetUpPr fitToPage="1"/>
  </sheetPr>
  <dimension ref="A1:AE679"/>
  <sheetViews>
    <sheetView showGridLines="0" showRowColHeaders="0" tabSelected="1" zoomScale="80" zoomScaleNormal="80" workbookViewId="0">
      <selection activeCell="D273" sqref="D273:J273"/>
    </sheetView>
  </sheetViews>
  <sheetFormatPr baseColWidth="10" defaultRowHeight="15" x14ac:dyDescent="0.2"/>
  <cols>
    <col min="1" max="1" width="7" style="166" customWidth="1"/>
    <col min="2" max="2" width="12.7109375" style="166" customWidth="1"/>
    <col min="3" max="3" width="14.28515625" style="166" customWidth="1"/>
    <col min="4" max="4" width="18.5703125" style="166" customWidth="1"/>
    <col min="5" max="5" width="18.7109375" style="166" customWidth="1"/>
    <col min="6" max="6" width="20.42578125" style="166" customWidth="1"/>
    <col min="7" max="7" width="17.42578125" style="166" customWidth="1"/>
    <col min="8" max="8" width="14.85546875" style="166" customWidth="1"/>
    <col min="9" max="9" width="17.85546875" style="166" customWidth="1"/>
    <col min="10" max="10" width="15" style="166" customWidth="1"/>
    <col min="11" max="11" width="11.42578125" style="166"/>
    <col min="12" max="12" width="12.7109375" style="166" customWidth="1"/>
    <col min="13" max="13" width="15.7109375" style="166" customWidth="1"/>
    <col min="14" max="16384" width="11.42578125" style="166"/>
  </cols>
  <sheetData>
    <row r="1" spans="1:23" ht="18" x14ac:dyDescent="0.2">
      <c r="A1" s="167"/>
      <c r="B1" s="167"/>
      <c r="C1" s="167"/>
      <c r="D1" s="167"/>
      <c r="E1" s="167"/>
      <c r="F1" s="167"/>
      <c r="G1" s="167"/>
      <c r="H1" s="167"/>
      <c r="I1" s="167"/>
      <c r="J1" s="168"/>
      <c r="K1" s="168"/>
      <c r="L1" s="167"/>
      <c r="M1" s="167"/>
      <c r="N1" s="167"/>
      <c r="O1" s="167"/>
      <c r="P1" s="167"/>
      <c r="Q1" s="167"/>
      <c r="R1" s="167"/>
      <c r="S1" s="167"/>
      <c r="T1" s="167"/>
      <c r="U1" s="167"/>
      <c r="V1" s="167"/>
      <c r="W1" s="167"/>
    </row>
    <row r="2" spans="1:23" ht="9.75" customHeight="1" x14ac:dyDescent="0.2">
      <c r="A2" s="169"/>
      <c r="B2" s="169"/>
      <c r="C2" s="169"/>
      <c r="D2" s="169"/>
      <c r="E2" s="171"/>
      <c r="F2" s="169"/>
      <c r="G2" s="169"/>
      <c r="H2" s="169"/>
      <c r="I2" s="170"/>
      <c r="J2" s="167"/>
      <c r="K2" s="167"/>
      <c r="L2" s="167"/>
      <c r="M2" s="167"/>
      <c r="N2" s="167"/>
      <c r="O2" s="167"/>
      <c r="P2" s="167"/>
      <c r="Q2" s="167"/>
      <c r="R2" s="167"/>
      <c r="S2" s="167"/>
      <c r="T2" s="167"/>
      <c r="U2" s="167"/>
      <c r="V2" s="167"/>
      <c r="W2" s="167"/>
    </row>
    <row r="3" spans="1:23" ht="60" customHeight="1" x14ac:dyDescent="0.2">
      <c r="B3" s="171"/>
      <c r="C3" s="584" t="s">
        <v>701</v>
      </c>
      <c r="D3" s="584"/>
      <c r="E3" s="584"/>
      <c r="F3" s="584"/>
      <c r="G3" s="584"/>
      <c r="H3" s="584"/>
      <c r="I3" s="584"/>
      <c r="J3" s="584"/>
      <c r="K3" s="584"/>
      <c r="L3" s="171"/>
      <c r="M3" s="167"/>
      <c r="N3" s="167"/>
      <c r="O3" s="167"/>
      <c r="P3" s="167"/>
      <c r="Q3" s="167"/>
      <c r="R3" s="167"/>
      <c r="S3" s="167"/>
      <c r="T3" s="167"/>
      <c r="U3" s="167"/>
      <c r="V3" s="167"/>
      <c r="W3" s="167"/>
    </row>
    <row r="4" spans="1:23" ht="12.75" customHeight="1" x14ac:dyDescent="0.2">
      <c r="A4" s="172"/>
      <c r="B4" s="173"/>
      <c r="C4" s="174"/>
      <c r="D4" s="174"/>
      <c r="E4" s="174"/>
      <c r="F4" s="174"/>
      <c r="G4" s="175"/>
      <c r="H4" s="175"/>
      <c r="I4" s="173"/>
      <c r="J4" s="175"/>
      <c r="K4" s="175"/>
      <c r="L4" s="175"/>
      <c r="M4" s="167"/>
      <c r="N4" s="167"/>
      <c r="O4" s="167"/>
      <c r="P4" s="167"/>
      <c r="Q4" s="167"/>
      <c r="R4" s="167"/>
      <c r="S4" s="167"/>
      <c r="T4" s="167"/>
      <c r="U4" s="167"/>
      <c r="V4" s="167"/>
      <c r="W4" s="167"/>
    </row>
    <row r="5" spans="1:23" ht="12.75" customHeight="1" x14ac:dyDescent="0.2">
      <c r="A5" s="167"/>
      <c r="B5" s="175"/>
      <c r="C5" s="175"/>
      <c r="D5" s="175"/>
      <c r="E5" s="175"/>
      <c r="F5" s="175"/>
      <c r="G5" s="175"/>
      <c r="H5" s="175"/>
      <c r="I5" s="175"/>
      <c r="J5" s="175"/>
      <c r="K5" s="175"/>
      <c r="L5" s="175"/>
      <c r="M5" s="167"/>
      <c r="N5" s="167"/>
      <c r="O5" s="167"/>
      <c r="P5" s="167"/>
      <c r="Q5" s="167"/>
      <c r="R5" s="167"/>
      <c r="S5" s="167"/>
      <c r="T5" s="167"/>
      <c r="U5" s="167"/>
      <c r="V5" s="167"/>
      <c r="W5" s="167"/>
    </row>
    <row r="6" spans="1:23" ht="18" x14ac:dyDescent="0.2">
      <c r="A6" s="167"/>
      <c r="B6" s="602" t="s">
        <v>716</v>
      </c>
      <c r="C6" s="602"/>
      <c r="D6" s="602"/>
      <c r="E6" s="602"/>
      <c r="F6" s="602"/>
      <c r="G6" s="167"/>
      <c r="H6" s="602" t="s">
        <v>695</v>
      </c>
      <c r="I6" s="602"/>
      <c r="J6" s="602"/>
      <c r="K6" s="602"/>
      <c r="L6" s="602"/>
      <c r="M6" s="167"/>
      <c r="N6" s="167"/>
      <c r="O6" s="167"/>
      <c r="P6" s="167"/>
      <c r="Q6" s="167"/>
      <c r="R6" s="167"/>
      <c r="S6" s="167"/>
      <c r="T6" s="167"/>
      <c r="U6" s="167"/>
      <c r="V6" s="167"/>
      <c r="W6" s="167"/>
    </row>
    <row r="7" spans="1:23" ht="18" x14ac:dyDescent="0.2">
      <c r="A7" s="167"/>
      <c r="B7" s="171"/>
      <c r="C7" s="167"/>
      <c r="D7" s="167"/>
      <c r="E7" s="167"/>
      <c r="F7" s="167"/>
      <c r="G7" s="167"/>
      <c r="H7" s="171"/>
      <c r="I7" s="167"/>
      <c r="J7" s="167"/>
      <c r="K7" s="167"/>
      <c r="L7" s="167"/>
      <c r="M7" s="167"/>
      <c r="N7" s="167"/>
      <c r="O7" s="167"/>
      <c r="P7" s="167"/>
      <c r="Q7" s="167"/>
      <c r="R7" s="167"/>
      <c r="S7" s="167"/>
      <c r="T7" s="167"/>
      <c r="U7" s="167"/>
      <c r="V7" s="167"/>
      <c r="W7" s="167"/>
    </row>
    <row r="8" spans="1:23" ht="18" x14ac:dyDescent="0.3">
      <c r="A8" s="167"/>
      <c r="B8" s="361" t="s">
        <v>693</v>
      </c>
      <c r="D8" s="598"/>
      <c r="E8" s="598"/>
      <c r="F8" s="598"/>
      <c r="G8" s="167"/>
      <c r="H8" s="365" t="s">
        <v>696</v>
      </c>
      <c r="I8" s="365"/>
      <c r="J8" s="598"/>
      <c r="K8" s="598"/>
      <c r="L8" s="598"/>
      <c r="M8" s="167"/>
      <c r="N8" s="167"/>
      <c r="O8" s="167"/>
      <c r="P8" s="167"/>
      <c r="Q8" s="167"/>
      <c r="R8" s="167"/>
      <c r="S8" s="167"/>
      <c r="T8" s="167"/>
      <c r="U8" s="167"/>
      <c r="V8" s="167"/>
      <c r="W8" s="167"/>
    </row>
    <row r="9" spans="1:23" ht="18" x14ac:dyDescent="0.35">
      <c r="A9" s="167"/>
      <c r="B9" s="167"/>
      <c r="C9" s="167"/>
      <c r="D9" s="167"/>
      <c r="E9" s="167"/>
      <c r="F9" s="167"/>
      <c r="G9" s="167"/>
      <c r="H9" s="365"/>
      <c r="I9" s="365"/>
      <c r="J9" s="366"/>
      <c r="K9" s="366"/>
      <c r="M9" s="167"/>
      <c r="N9" s="167"/>
      <c r="O9" s="167"/>
      <c r="P9" s="167"/>
      <c r="Q9" s="167"/>
      <c r="R9" s="167"/>
      <c r="S9" s="167"/>
      <c r="T9" s="167"/>
      <c r="U9" s="167"/>
      <c r="V9" s="167"/>
      <c r="W9" s="167"/>
    </row>
    <row r="10" spans="1:23" ht="18" customHeight="1" x14ac:dyDescent="0.3">
      <c r="A10" s="167"/>
      <c r="B10" s="361" t="s">
        <v>674</v>
      </c>
      <c r="D10" s="598" t="s">
        <v>232</v>
      </c>
      <c r="E10" s="598"/>
      <c r="F10" s="598"/>
      <c r="H10" s="365" t="s">
        <v>697</v>
      </c>
      <c r="I10" s="365"/>
      <c r="J10" s="598"/>
      <c r="K10" s="598"/>
      <c r="L10" s="598"/>
      <c r="M10" s="177"/>
      <c r="N10" s="176">
        <f>VLOOKUP(D10,'base profession'!A2:B20,2,TRUE)</f>
        <v>3</v>
      </c>
      <c r="O10" s="167"/>
      <c r="P10" s="167"/>
      <c r="Q10" s="167"/>
      <c r="R10" s="167"/>
      <c r="S10" s="167"/>
      <c r="T10" s="167"/>
      <c r="U10" s="167"/>
      <c r="V10" s="167"/>
      <c r="W10" s="167"/>
    </row>
    <row r="11" spans="1:23" ht="18" x14ac:dyDescent="0.35">
      <c r="A11" s="167"/>
      <c r="B11" s="167"/>
      <c r="C11" s="167"/>
      <c r="D11" s="167"/>
      <c r="E11" s="167"/>
      <c r="G11" s="167"/>
      <c r="H11" s="365"/>
      <c r="I11" s="365"/>
      <c r="J11" s="366"/>
      <c r="K11" s="366"/>
      <c r="M11" s="167"/>
      <c r="N11" s="167"/>
      <c r="O11" s="167"/>
      <c r="P11" s="167"/>
      <c r="Q11" s="167"/>
      <c r="R11" s="167"/>
      <c r="S11" s="167"/>
      <c r="T11" s="167"/>
      <c r="U11" s="167"/>
      <c r="V11" s="167"/>
      <c r="W11" s="167"/>
    </row>
    <row r="12" spans="1:23" ht="18" x14ac:dyDescent="0.3">
      <c r="A12" s="167"/>
      <c r="B12" s="361" t="s">
        <v>694</v>
      </c>
      <c r="C12" s="167"/>
      <c r="D12" s="392" t="s">
        <v>718</v>
      </c>
      <c r="E12" s="167"/>
      <c r="F12" s="167"/>
      <c r="G12" s="167"/>
      <c r="H12" s="365" t="s">
        <v>698</v>
      </c>
      <c r="I12" s="365"/>
      <c r="J12" s="598"/>
      <c r="K12" s="598"/>
      <c r="L12" s="598"/>
      <c r="M12" s="167"/>
      <c r="N12" s="167"/>
      <c r="O12" s="167"/>
      <c r="P12" s="167"/>
      <c r="Q12" s="167"/>
      <c r="R12" s="167"/>
      <c r="S12" s="167"/>
      <c r="T12" s="167"/>
      <c r="U12" s="167"/>
      <c r="V12" s="167"/>
      <c r="W12" s="167"/>
    </row>
    <row r="13" spans="1:23" ht="18" x14ac:dyDescent="0.35">
      <c r="A13" s="167"/>
      <c r="C13" s="167"/>
      <c r="D13" s="392" t="s">
        <v>719</v>
      </c>
      <c r="F13" s="167"/>
      <c r="G13" s="167"/>
      <c r="H13" s="365"/>
      <c r="I13" s="365"/>
      <c r="J13" s="366"/>
      <c r="K13" s="366"/>
      <c r="M13" s="167"/>
      <c r="N13" s="167"/>
      <c r="O13" s="167"/>
      <c r="P13" s="167"/>
      <c r="Q13" s="167"/>
      <c r="R13" s="167"/>
      <c r="S13" s="167"/>
      <c r="T13" s="167"/>
      <c r="U13" s="167"/>
      <c r="V13" s="167"/>
      <c r="W13" s="167"/>
    </row>
    <row r="14" spans="1:23" ht="18" x14ac:dyDescent="0.3">
      <c r="A14" s="167"/>
      <c r="D14" s="392" t="s">
        <v>720</v>
      </c>
      <c r="E14" s="167"/>
      <c r="F14" s="167"/>
      <c r="G14" s="167"/>
      <c r="H14" s="365" t="s">
        <v>717</v>
      </c>
      <c r="I14" s="365"/>
      <c r="J14" s="598"/>
      <c r="K14" s="598"/>
      <c r="L14" s="598"/>
      <c r="M14" s="167"/>
      <c r="N14" s="167"/>
      <c r="O14" s="167"/>
      <c r="P14" s="167"/>
      <c r="Q14" s="167"/>
      <c r="R14" s="167"/>
      <c r="S14" s="167"/>
      <c r="T14" s="167"/>
      <c r="U14" s="167"/>
      <c r="V14" s="167"/>
      <c r="W14" s="167"/>
    </row>
    <row r="15" spans="1:23" ht="18" x14ac:dyDescent="0.35">
      <c r="A15" s="167"/>
      <c r="D15" s="362" t="s">
        <v>594</v>
      </c>
      <c r="E15" s="167"/>
      <c r="F15" s="167"/>
      <c r="G15" s="167"/>
      <c r="H15" s="365"/>
      <c r="I15" s="365"/>
      <c r="J15" s="366"/>
      <c r="K15" s="366"/>
      <c r="M15" s="167"/>
      <c r="N15" s="167"/>
      <c r="O15" s="167"/>
      <c r="P15" s="167"/>
      <c r="Q15" s="167"/>
      <c r="R15" s="167"/>
      <c r="S15" s="167"/>
      <c r="T15" s="167"/>
      <c r="U15" s="167"/>
      <c r="V15" s="167"/>
      <c r="W15" s="167"/>
    </row>
    <row r="16" spans="1:23" ht="18" x14ac:dyDescent="0.3">
      <c r="A16" s="167"/>
      <c r="D16" s="362" t="s">
        <v>595</v>
      </c>
      <c r="E16" s="167"/>
      <c r="F16" s="167"/>
      <c r="G16" s="167"/>
      <c r="H16" s="365" t="s">
        <v>699</v>
      </c>
      <c r="I16" s="365"/>
      <c r="J16" s="598"/>
      <c r="K16" s="598"/>
      <c r="L16" s="598"/>
      <c r="M16" s="167"/>
      <c r="N16" s="167"/>
      <c r="O16" s="167"/>
      <c r="P16" s="167"/>
      <c r="Q16" s="167"/>
      <c r="R16" s="167"/>
      <c r="S16" s="167"/>
      <c r="T16" s="167"/>
      <c r="U16" s="167"/>
      <c r="V16" s="167"/>
      <c r="W16" s="167"/>
    </row>
    <row r="17" spans="1:23" ht="18" x14ac:dyDescent="0.35">
      <c r="A17" s="167"/>
      <c r="D17" s="362" t="s">
        <v>651</v>
      </c>
      <c r="E17" s="167"/>
      <c r="F17" s="374" t="str">
        <f>VLOOKUP(Médecin,'base profession'!A2:C20,3,FALSE)</f>
        <v>CAVEC</v>
      </c>
      <c r="G17" s="167"/>
      <c r="H17" s="365"/>
      <c r="I17" s="365"/>
      <c r="J17" s="366"/>
      <c r="K17" s="366"/>
      <c r="M17" s="167"/>
      <c r="N17" s="167"/>
      <c r="O17" s="167"/>
      <c r="P17" s="167"/>
      <c r="Q17" s="167"/>
      <c r="R17" s="167"/>
      <c r="S17" s="167"/>
      <c r="T17" s="167"/>
      <c r="U17" s="167"/>
      <c r="V17" s="167"/>
      <c r="W17" s="167"/>
    </row>
    <row r="18" spans="1:23" ht="18" x14ac:dyDescent="0.3">
      <c r="A18" s="167"/>
      <c r="G18" s="167"/>
      <c r="H18" s="365" t="s">
        <v>700</v>
      </c>
      <c r="I18" s="365"/>
      <c r="J18" s="598"/>
      <c r="K18" s="598"/>
      <c r="L18" s="598"/>
      <c r="M18" s="167"/>
      <c r="N18" s="167"/>
      <c r="O18" s="167"/>
      <c r="P18" s="167"/>
      <c r="Q18" s="167"/>
      <c r="R18" s="167"/>
      <c r="S18" s="167"/>
      <c r="T18" s="167"/>
      <c r="U18" s="167"/>
      <c r="V18" s="167"/>
      <c r="W18" s="167"/>
    </row>
    <row r="19" spans="1:23" ht="18" x14ac:dyDescent="0.2">
      <c r="A19" s="167"/>
      <c r="G19" s="167"/>
      <c r="H19" s="167"/>
      <c r="I19" s="167"/>
      <c r="J19" s="167"/>
      <c r="K19" s="167"/>
      <c r="L19" s="167"/>
      <c r="M19" s="167"/>
      <c r="N19" s="167"/>
      <c r="O19" s="167"/>
      <c r="P19" s="167"/>
      <c r="Q19" s="167"/>
      <c r="R19" s="167"/>
      <c r="S19" s="167"/>
      <c r="T19" s="167"/>
      <c r="U19" s="167"/>
      <c r="V19" s="167"/>
      <c r="W19" s="167"/>
    </row>
    <row r="20" spans="1:23" ht="18" x14ac:dyDescent="0.2">
      <c r="A20" s="167"/>
      <c r="G20" s="167"/>
      <c r="H20" s="167"/>
      <c r="I20" s="167"/>
      <c r="J20" s="167"/>
      <c r="K20" s="167"/>
      <c r="L20" s="167"/>
      <c r="M20" s="167"/>
      <c r="N20" s="167"/>
      <c r="O20" s="167"/>
      <c r="P20" s="167"/>
      <c r="Q20" s="167"/>
      <c r="R20" s="167"/>
      <c r="S20" s="167"/>
      <c r="T20" s="167"/>
      <c r="U20" s="167"/>
      <c r="V20" s="167"/>
      <c r="W20" s="167"/>
    </row>
    <row r="21" spans="1:23" ht="18" x14ac:dyDescent="0.2">
      <c r="A21" s="167"/>
      <c r="C21" s="178"/>
      <c r="D21" s="167"/>
      <c r="E21" s="168"/>
      <c r="F21" s="167"/>
      <c r="G21" s="167"/>
      <c r="H21" s="167"/>
      <c r="I21" s="167"/>
      <c r="J21" s="167"/>
      <c r="K21" s="167"/>
      <c r="L21" s="167"/>
      <c r="M21" s="167"/>
      <c r="N21" s="167"/>
      <c r="O21" s="167"/>
      <c r="P21" s="167"/>
      <c r="Q21" s="167"/>
      <c r="R21" s="167"/>
      <c r="S21" s="167"/>
      <c r="T21" s="167"/>
      <c r="U21" s="167"/>
      <c r="V21" s="167"/>
      <c r="W21" s="167"/>
    </row>
    <row r="22" spans="1:23" ht="18.75" x14ac:dyDescent="0.2">
      <c r="A22" s="167"/>
      <c r="B22" s="607" t="s">
        <v>621</v>
      </c>
      <c r="C22" s="607"/>
      <c r="D22" s="607"/>
      <c r="E22" s="607"/>
      <c r="F22" s="607"/>
      <c r="G22" s="607"/>
      <c r="H22" s="607"/>
      <c r="I22" s="607"/>
      <c r="J22" s="607"/>
      <c r="K22" s="607"/>
      <c r="L22" s="607"/>
      <c r="M22" s="167"/>
      <c r="N22" s="167"/>
      <c r="O22" s="167"/>
      <c r="P22" s="167"/>
      <c r="Q22" s="167"/>
      <c r="R22" s="167"/>
      <c r="S22" s="167"/>
      <c r="T22" s="167"/>
      <c r="U22" s="167"/>
      <c r="V22" s="167"/>
      <c r="W22" s="167"/>
    </row>
    <row r="23" spans="1:23" ht="18" x14ac:dyDescent="0.2">
      <c r="A23" s="167"/>
      <c r="B23" s="167"/>
      <c r="C23" s="167"/>
      <c r="D23" s="167"/>
      <c r="E23" s="167"/>
      <c r="F23" s="167"/>
      <c r="G23" s="167"/>
      <c r="H23" s="167"/>
      <c r="I23" s="167"/>
      <c r="J23" s="167"/>
      <c r="K23" s="167"/>
      <c r="L23" s="167"/>
      <c r="M23" s="167"/>
      <c r="N23" s="167"/>
      <c r="O23" s="167"/>
      <c r="P23" s="167"/>
      <c r="Q23" s="167"/>
      <c r="R23" s="167"/>
      <c r="S23" s="167"/>
      <c r="T23" s="167"/>
      <c r="U23" s="167"/>
      <c r="V23" s="167"/>
      <c r="W23" s="167"/>
    </row>
    <row r="24" spans="1:23" ht="18" x14ac:dyDescent="0.2">
      <c r="A24" s="167"/>
      <c r="B24" s="167"/>
      <c r="J24" s="167"/>
      <c r="K24" s="167"/>
      <c r="L24" s="167"/>
      <c r="M24" s="167"/>
      <c r="N24" s="167"/>
      <c r="O24" s="167"/>
      <c r="P24" s="167"/>
      <c r="Q24" s="167"/>
      <c r="R24" s="167"/>
      <c r="S24" s="167"/>
      <c r="T24" s="167"/>
      <c r="U24" s="167"/>
      <c r="V24" s="167"/>
      <c r="W24" s="167"/>
    </row>
    <row r="25" spans="1:23" ht="35.25" customHeight="1" x14ac:dyDescent="0.2">
      <c r="A25" s="167"/>
      <c r="B25" s="552" t="s">
        <v>673</v>
      </c>
      <c r="C25" s="552"/>
      <c r="D25" s="552"/>
      <c r="E25" s="552"/>
      <c r="F25" s="552"/>
      <c r="G25" s="552"/>
      <c r="H25" s="552"/>
      <c r="I25" s="552"/>
      <c r="J25" s="552"/>
      <c r="K25" s="552"/>
      <c r="L25" s="552"/>
      <c r="M25" s="167"/>
      <c r="N25" s="167"/>
      <c r="O25" s="167"/>
      <c r="P25" s="167"/>
      <c r="Q25" s="167"/>
      <c r="R25" s="167"/>
      <c r="S25" s="167"/>
      <c r="T25" s="167"/>
      <c r="U25" s="167"/>
      <c r="V25" s="167"/>
      <c r="W25" s="167"/>
    </row>
    <row r="26" spans="1:23" ht="18" x14ac:dyDescent="0.2">
      <c r="A26" s="167"/>
      <c r="B26" s="167"/>
      <c r="K26" s="167"/>
      <c r="L26" s="167"/>
      <c r="M26" s="167"/>
      <c r="N26" s="167"/>
      <c r="O26" s="167"/>
      <c r="P26" s="167"/>
      <c r="Q26" s="167"/>
      <c r="R26" s="167"/>
      <c r="S26" s="167"/>
      <c r="T26" s="167"/>
      <c r="U26" s="167"/>
      <c r="V26" s="167"/>
      <c r="W26" s="167"/>
    </row>
    <row r="27" spans="1:23" ht="35.25" customHeight="1" x14ac:dyDescent="0.2">
      <c r="A27" s="167"/>
      <c r="B27" s="552" t="s">
        <v>654</v>
      </c>
      <c r="C27" s="552"/>
      <c r="D27" s="552"/>
      <c r="E27" s="552"/>
      <c r="F27" s="552"/>
      <c r="G27" s="552"/>
      <c r="H27" s="552"/>
      <c r="I27" s="552"/>
      <c r="J27" s="552"/>
      <c r="K27" s="552"/>
      <c r="L27" s="552"/>
      <c r="M27" s="167"/>
      <c r="N27" s="167"/>
      <c r="O27" s="167"/>
      <c r="P27" s="167"/>
      <c r="Q27" s="167"/>
      <c r="R27" s="167"/>
      <c r="S27" s="167"/>
      <c r="T27" s="167"/>
      <c r="U27" s="167"/>
      <c r="V27" s="167"/>
      <c r="W27" s="167"/>
    </row>
    <row r="28" spans="1:23" ht="18" x14ac:dyDescent="0.2">
      <c r="A28" s="167"/>
      <c r="B28" s="167"/>
      <c r="C28" s="167"/>
      <c r="D28" s="168"/>
      <c r="E28" s="179"/>
      <c r="F28" s="168"/>
      <c r="G28" s="179"/>
      <c r="H28" s="167"/>
      <c r="I28" s="167"/>
      <c r="J28" s="168"/>
      <c r="K28" s="167"/>
      <c r="L28" s="167"/>
      <c r="M28" s="167"/>
      <c r="N28" s="167"/>
      <c r="O28" s="167"/>
      <c r="P28" s="167"/>
      <c r="Q28" s="167"/>
      <c r="R28" s="167"/>
      <c r="S28" s="167"/>
      <c r="T28" s="167"/>
      <c r="U28" s="167"/>
      <c r="V28" s="167"/>
      <c r="W28" s="167"/>
    </row>
    <row r="29" spans="1:23" ht="18" x14ac:dyDescent="0.2">
      <c r="A29" s="167"/>
      <c r="B29" s="609" t="s">
        <v>596</v>
      </c>
      <c r="C29" s="609"/>
      <c r="D29" s="609"/>
      <c r="E29" s="609"/>
      <c r="F29" s="609"/>
      <c r="G29" s="609"/>
      <c r="H29" s="609"/>
      <c r="I29" s="609"/>
      <c r="J29" s="609"/>
      <c r="K29" s="609"/>
      <c r="L29" s="609"/>
      <c r="M29" s="167"/>
      <c r="N29" s="167"/>
      <c r="O29" s="167"/>
      <c r="P29" s="167"/>
      <c r="Q29" s="167"/>
      <c r="R29" s="167"/>
      <c r="S29" s="167"/>
      <c r="T29" s="167"/>
      <c r="U29" s="167"/>
      <c r="V29" s="167"/>
      <c r="W29" s="167"/>
    </row>
    <row r="30" spans="1:23" ht="18" x14ac:dyDescent="0.2">
      <c r="B30" s="167"/>
      <c r="C30" s="167"/>
      <c r="D30" s="168"/>
      <c r="E30" s="179"/>
      <c r="F30" s="168"/>
      <c r="G30" s="167"/>
      <c r="H30" s="167"/>
      <c r="I30" s="167"/>
      <c r="J30" s="168"/>
      <c r="K30" s="167"/>
      <c r="L30" s="167"/>
      <c r="M30" s="167"/>
      <c r="N30" s="167"/>
      <c r="O30" s="167"/>
      <c r="P30" s="167"/>
      <c r="Q30" s="167"/>
      <c r="R30" s="167"/>
      <c r="S30" s="167"/>
      <c r="T30" s="167"/>
      <c r="U30" s="167"/>
      <c r="V30" s="167"/>
      <c r="W30" s="167"/>
    </row>
    <row r="31" spans="1:23" ht="18" x14ac:dyDescent="0.2">
      <c r="B31" s="609" t="s">
        <v>655</v>
      </c>
      <c r="C31" s="609"/>
      <c r="D31" s="609"/>
      <c r="E31" s="609"/>
      <c r="F31" s="609"/>
      <c r="G31" s="609"/>
      <c r="H31" s="609"/>
      <c r="I31" s="609"/>
      <c r="J31" s="609"/>
      <c r="K31" s="609"/>
      <c r="L31" s="609"/>
      <c r="M31" s="167"/>
      <c r="N31" s="167"/>
      <c r="O31" s="167"/>
      <c r="P31" s="167"/>
      <c r="Q31" s="167"/>
      <c r="R31" s="167"/>
      <c r="S31" s="167"/>
      <c r="T31" s="167"/>
      <c r="U31" s="167"/>
      <c r="V31" s="167"/>
      <c r="W31" s="167"/>
    </row>
    <row r="32" spans="1:23" ht="18" customHeight="1" x14ac:dyDescent="0.2">
      <c r="A32" s="167"/>
      <c r="B32" s="167"/>
      <c r="C32" s="167"/>
      <c r="D32" s="167"/>
      <c r="E32" s="167"/>
      <c r="F32" s="167"/>
      <c r="G32" s="167"/>
      <c r="H32" s="167"/>
      <c r="I32" s="167"/>
      <c r="J32" s="167"/>
      <c r="K32" s="167"/>
      <c r="L32" s="167"/>
      <c r="M32" s="167"/>
      <c r="N32" s="167"/>
      <c r="O32" s="167"/>
      <c r="P32" s="167"/>
      <c r="Q32" s="167"/>
      <c r="R32" s="167"/>
      <c r="S32" s="167"/>
      <c r="T32" s="167"/>
      <c r="U32" s="167"/>
      <c r="V32" s="167"/>
      <c r="W32" s="167"/>
    </row>
    <row r="33" spans="1:23" ht="18" customHeight="1" x14ac:dyDescent="0.2">
      <c r="A33" s="167"/>
      <c r="B33" s="167"/>
      <c r="C33" s="167"/>
      <c r="D33" s="167"/>
      <c r="E33" s="167"/>
      <c r="F33" s="167"/>
      <c r="G33" s="167"/>
      <c r="H33" s="167"/>
      <c r="I33" s="167"/>
      <c r="J33" s="167"/>
      <c r="K33" s="167"/>
      <c r="L33" s="167"/>
      <c r="M33" s="167"/>
      <c r="N33" s="167"/>
      <c r="O33" s="167"/>
      <c r="P33" s="167"/>
      <c r="Q33" s="167"/>
      <c r="R33" s="167"/>
      <c r="S33" s="167"/>
      <c r="T33" s="167"/>
      <c r="U33" s="167"/>
      <c r="V33" s="167"/>
      <c r="W33" s="167"/>
    </row>
    <row r="34" spans="1:23" ht="18" customHeight="1" x14ac:dyDescent="0.2">
      <c r="A34" s="167"/>
      <c r="B34" s="167"/>
      <c r="C34" s="167"/>
      <c r="D34" s="167"/>
      <c r="E34" s="167"/>
      <c r="F34" s="167"/>
      <c r="G34" s="167"/>
      <c r="H34" s="167"/>
      <c r="I34" s="167"/>
      <c r="J34" s="167"/>
      <c r="K34" s="167"/>
      <c r="L34" s="167"/>
      <c r="M34" s="167"/>
      <c r="N34" s="167"/>
      <c r="O34" s="167"/>
      <c r="P34" s="167"/>
      <c r="Q34" s="167"/>
      <c r="R34" s="167"/>
      <c r="S34" s="167"/>
      <c r="T34" s="167"/>
      <c r="U34" s="167"/>
      <c r="V34" s="167"/>
      <c r="W34" s="167"/>
    </row>
    <row r="35" spans="1:23" ht="18" x14ac:dyDescent="0.2">
      <c r="A35" s="167"/>
      <c r="C35" s="170"/>
      <c r="D35" s="590" t="s">
        <v>602</v>
      </c>
      <c r="E35" s="590"/>
      <c r="F35" s="590"/>
      <c r="G35" s="590"/>
      <c r="H35" s="590"/>
      <c r="I35" s="590"/>
      <c r="J35" s="590"/>
      <c r="K35" s="170"/>
      <c r="L35" s="170"/>
      <c r="M35" s="167"/>
      <c r="N35" s="167"/>
      <c r="O35" s="167"/>
      <c r="P35" s="167"/>
      <c r="Q35" s="167"/>
      <c r="R35" s="167"/>
      <c r="S35" s="167"/>
      <c r="T35" s="167"/>
      <c r="U35" s="167"/>
      <c r="V35" s="167"/>
      <c r="W35" s="167"/>
    </row>
    <row r="36" spans="1:23" ht="18" x14ac:dyDescent="0.2">
      <c r="A36" s="167"/>
      <c r="B36" s="167"/>
      <c r="C36" s="167"/>
      <c r="D36" s="167"/>
      <c r="E36" s="167"/>
      <c r="F36" s="167"/>
      <c r="G36" s="167"/>
      <c r="H36" s="167"/>
      <c r="I36" s="167"/>
      <c r="J36" s="167"/>
      <c r="K36" s="167"/>
      <c r="L36" s="167"/>
      <c r="M36" s="167"/>
      <c r="N36" s="167"/>
      <c r="O36" s="167"/>
      <c r="P36" s="167"/>
      <c r="Q36" s="167"/>
      <c r="R36" s="167"/>
      <c r="S36" s="167"/>
      <c r="T36" s="167"/>
      <c r="U36" s="167"/>
      <c r="V36" s="167"/>
      <c r="W36" s="167"/>
    </row>
    <row r="37" spans="1:23" ht="18" x14ac:dyDescent="0.2">
      <c r="A37" s="167"/>
      <c r="B37" s="167" t="s">
        <v>4</v>
      </c>
      <c r="C37" s="167"/>
      <c r="D37" s="167"/>
      <c r="E37" s="167"/>
      <c r="F37" s="167"/>
      <c r="G37" s="167"/>
      <c r="H37" s="167"/>
      <c r="I37" s="167"/>
      <c r="J37" s="167"/>
      <c r="K37" s="167"/>
      <c r="L37" s="167"/>
    </row>
    <row r="38" spans="1:23" ht="8.25" customHeight="1" x14ac:dyDescent="0.2">
      <c r="A38" s="167"/>
      <c r="B38" s="167"/>
      <c r="C38" s="167"/>
      <c r="D38" s="167"/>
      <c r="E38" s="167"/>
      <c r="F38" s="167"/>
      <c r="G38" s="167"/>
      <c r="H38" s="167"/>
      <c r="I38" s="167"/>
      <c r="J38" s="167"/>
      <c r="K38" s="167"/>
      <c r="L38" s="167"/>
      <c r="M38" s="167"/>
      <c r="N38" s="167"/>
      <c r="O38" s="167"/>
      <c r="P38" s="167"/>
      <c r="Q38" s="167"/>
      <c r="R38" s="167"/>
      <c r="S38" s="167"/>
      <c r="T38" s="167"/>
      <c r="U38" s="167"/>
      <c r="V38" s="167"/>
      <c r="W38" s="167"/>
    </row>
    <row r="39" spans="1:23" ht="18" customHeight="1" x14ac:dyDescent="0.2">
      <c r="A39" s="167"/>
      <c r="B39" s="272"/>
      <c r="C39" s="167"/>
      <c r="D39" s="167"/>
      <c r="E39" s="167"/>
      <c r="F39" s="167"/>
      <c r="J39" s="167"/>
      <c r="K39" s="167"/>
      <c r="L39" s="167"/>
      <c r="M39" s="167"/>
      <c r="N39" s="167"/>
      <c r="O39" s="167"/>
      <c r="P39" s="167"/>
      <c r="Q39" s="167"/>
      <c r="R39" s="167"/>
      <c r="S39" s="167"/>
      <c r="T39" s="167"/>
      <c r="U39" s="167"/>
      <c r="V39" s="167"/>
      <c r="W39" s="167"/>
    </row>
    <row r="40" spans="1:23" ht="8.25" customHeight="1" x14ac:dyDescent="0.2">
      <c r="A40" s="167"/>
      <c r="B40" s="167"/>
      <c r="C40" s="167"/>
      <c r="D40" s="167"/>
      <c r="E40" s="167"/>
      <c r="F40" s="167"/>
      <c r="G40" s="167"/>
      <c r="H40" s="167"/>
      <c r="I40" s="167"/>
      <c r="J40" s="167"/>
      <c r="K40" s="167"/>
      <c r="L40" s="167"/>
      <c r="M40" s="167"/>
      <c r="N40" s="167"/>
      <c r="O40" s="167"/>
      <c r="P40" s="167"/>
      <c r="Q40" s="167"/>
      <c r="R40" s="167"/>
      <c r="S40" s="167"/>
      <c r="T40" s="167"/>
      <c r="U40" s="167"/>
      <c r="V40" s="167"/>
      <c r="W40" s="167"/>
    </row>
    <row r="41" spans="1:23" ht="18" x14ac:dyDescent="0.2">
      <c r="A41" s="167"/>
      <c r="B41" s="167"/>
      <c r="C41" s="167"/>
      <c r="D41" s="167"/>
      <c r="E41" s="167"/>
      <c r="F41" s="167"/>
      <c r="G41" s="167"/>
      <c r="H41" s="168"/>
      <c r="I41" s="167"/>
      <c r="J41" s="167"/>
      <c r="K41" s="167"/>
      <c r="L41" s="167"/>
      <c r="M41" s="167"/>
      <c r="N41" s="167"/>
      <c r="O41" s="167"/>
      <c r="P41" s="167"/>
      <c r="Q41" s="167"/>
      <c r="R41" s="167"/>
      <c r="S41" s="167"/>
      <c r="T41" s="167"/>
      <c r="U41" s="167"/>
      <c r="V41" s="167"/>
      <c r="W41" s="167"/>
    </row>
    <row r="42" spans="1:23" ht="18" x14ac:dyDescent="0.2">
      <c r="A42" s="180"/>
      <c r="B42" s="617">
        <v>1</v>
      </c>
      <c r="C42" s="181"/>
      <c r="D42" s="182"/>
      <c r="E42" s="182"/>
      <c r="F42" s="182"/>
      <c r="G42" s="182"/>
      <c r="H42" s="182"/>
      <c r="I42" s="182"/>
      <c r="J42" s="182"/>
      <c r="K42" s="182"/>
      <c r="L42" s="183"/>
      <c r="M42" s="167"/>
      <c r="N42" s="167"/>
      <c r="O42" s="167"/>
      <c r="P42" s="167"/>
      <c r="Q42" s="167"/>
      <c r="R42" s="167"/>
      <c r="S42" s="167"/>
      <c r="T42" s="167"/>
      <c r="U42" s="167"/>
      <c r="V42" s="167"/>
      <c r="W42" s="167"/>
    </row>
    <row r="43" spans="1:23" ht="18" x14ac:dyDescent="0.2">
      <c r="A43" s="180"/>
      <c r="B43" s="618"/>
      <c r="C43" s="587" t="s">
        <v>721</v>
      </c>
      <c r="D43" s="587"/>
      <c r="E43" s="587"/>
      <c r="F43" s="587"/>
      <c r="G43" s="322"/>
      <c r="H43" s="587" t="s">
        <v>674</v>
      </c>
      <c r="I43" s="587"/>
      <c r="J43" s="587"/>
      <c r="K43" s="587"/>
      <c r="L43" s="393"/>
      <c r="M43" s="167"/>
      <c r="N43" s="167"/>
      <c r="O43" s="167"/>
      <c r="P43" s="167"/>
      <c r="Q43" s="167"/>
      <c r="R43" s="167"/>
      <c r="S43" s="167"/>
      <c r="T43" s="167"/>
      <c r="U43" s="167"/>
      <c r="V43" s="167"/>
      <c r="W43" s="167"/>
    </row>
    <row r="44" spans="1:23" ht="18" x14ac:dyDescent="0.2">
      <c r="A44" s="180"/>
      <c r="B44" s="184"/>
      <c r="C44" s="585">
        <f>+D8</f>
        <v>0</v>
      </c>
      <c r="D44" s="586"/>
      <c r="E44" s="586"/>
      <c r="F44" s="586"/>
      <c r="G44" s="322"/>
      <c r="H44" s="586" t="str">
        <f>Médecin</f>
        <v>Expert comptable- commissaire aux comptes</v>
      </c>
      <c r="I44" s="586"/>
      <c r="J44" s="586"/>
      <c r="K44" s="586"/>
      <c r="L44" s="393"/>
      <c r="M44" s="167"/>
      <c r="N44" s="167"/>
      <c r="O44" s="167"/>
      <c r="P44" s="167"/>
      <c r="Q44" s="167"/>
      <c r="R44" s="167"/>
      <c r="S44" s="167"/>
      <c r="T44" s="167"/>
      <c r="U44" s="167"/>
      <c r="V44" s="167"/>
      <c r="W44" s="167"/>
    </row>
    <row r="45" spans="1:23" ht="18" x14ac:dyDescent="0.2">
      <c r="A45" s="180"/>
      <c r="B45" s="185"/>
      <c r="C45" s="186"/>
      <c r="D45" s="187"/>
      <c r="E45" s="187"/>
      <c r="F45" s="187"/>
      <c r="G45" s="187"/>
      <c r="H45" s="187"/>
      <c r="I45" s="188"/>
      <c r="J45" s="188"/>
      <c r="K45" s="188"/>
      <c r="L45" s="189"/>
      <c r="M45" s="167"/>
      <c r="N45" s="167"/>
      <c r="O45" s="167"/>
      <c r="P45" s="167"/>
      <c r="Q45" s="167"/>
      <c r="R45" s="167"/>
      <c r="S45" s="167"/>
      <c r="T45" s="167"/>
      <c r="U45" s="167"/>
      <c r="V45" s="167"/>
      <c r="W45" s="167"/>
    </row>
    <row r="46" spans="1:23" ht="18" x14ac:dyDescent="0.2">
      <c r="A46" s="180"/>
      <c r="B46" s="610">
        <v>2</v>
      </c>
      <c r="C46" s="327"/>
      <c r="D46" s="336"/>
      <c r="E46" s="336"/>
      <c r="F46" s="336"/>
      <c r="G46" s="336"/>
      <c r="H46" s="336"/>
      <c r="I46" s="337"/>
      <c r="J46" s="336"/>
      <c r="K46" s="327"/>
      <c r="L46" s="338"/>
      <c r="M46" s="167"/>
      <c r="N46" s="167"/>
      <c r="O46" s="167"/>
      <c r="P46" s="167"/>
      <c r="Q46" s="167"/>
      <c r="R46" s="167"/>
      <c r="S46" s="167"/>
      <c r="T46" s="167"/>
      <c r="U46" s="167"/>
      <c r="V46" s="167"/>
      <c r="W46" s="167"/>
    </row>
    <row r="47" spans="1:23" ht="18" x14ac:dyDescent="0.2">
      <c r="A47" s="180"/>
      <c r="B47" s="611"/>
      <c r="C47" s="325">
        <v>1</v>
      </c>
      <c r="D47" s="322" t="s">
        <v>320</v>
      </c>
      <c r="E47" s="322"/>
      <c r="F47" s="322"/>
      <c r="G47" s="322"/>
      <c r="H47" s="322"/>
      <c r="I47" s="339" t="s">
        <v>321</v>
      </c>
      <c r="J47" s="373">
        <v>250000</v>
      </c>
      <c r="K47" s="325"/>
      <c r="L47" s="340"/>
      <c r="M47" s="167"/>
      <c r="N47" s="167"/>
      <c r="O47" s="167"/>
      <c r="P47" s="167"/>
      <c r="Q47" s="167"/>
      <c r="R47" s="167"/>
      <c r="S47" s="167"/>
      <c r="T47" s="167"/>
      <c r="U47" s="167"/>
      <c r="V47" s="167"/>
      <c r="W47" s="167"/>
    </row>
    <row r="48" spans="1:23" ht="18" x14ac:dyDescent="0.2">
      <c r="A48" s="180"/>
      <c r="B48" s="619" t="s">
        <v>322</v>
      </c>
      <c r="C48" s="325">
        <v>2</v>
      </c>
      <c r="D48" s="597" t="s">
        <v>323</v>
      </c>
      <c r="E48" s="322" t="s">
        <v>324</v>
      </c>
      <c r="F48" s="323"/>
      <c r="G48" s="322"/>
      <c r="H48" s="322"/>
      <c r="I48" s="339" t="s">
        <v>325</v>
      </c>
      <c r="J48" s="372"/>
      <c r="K48" s="325"/>
      <c r="L48" s="340"/>
      <c r="M48" s="167"/>
      <c r="N48" s="167"/>
      <c r="O48" s="167"/>
      <c r="P48" s="167"/>
      <c r="Q48" s="167"/>
      <c r="R48" s="167"/>
      <c r="S48" s="167"/>
      <c r="T48" s="167"/>
      <c r="U48" s="167"/>
      <c r="V48" s="167"/>
      <c r="W48" s="167"/>
    </row>
    <row r="49" spans="1:23" ht="18" x14ac:dyDescent="0.2">
      <c r="A49" s="180"/>
      <c r="B49" s="619"/>
      <c r="C49" s="325">
        <v>3</v>
      </c>
      <c r="D49" s="597"/>
      <c r="E49" s="322" t="s">
        <v>326</v>
      </c>
      <c r="F49" s="323"/>
      <c r="G49" s="322"/>
      <c r="H49" s="322"/>
      <c r="I49" s="341" t="s">
        <v>327</v>
      </c>
      <c r="J49" s="372">
        <v>10000</v>
      </c>
      <c r="K49" s="325"/>
      <c r="L49" s="340"/>
      <c r="M49" s="167"/>
      <c r="N49" s="167"/>
      <c r="O49" s="167"/>
      <c r="P49" s="167"/>
      <c r="Q49" s="167"/>
      <c r="R49" s="167"/>
      <c r="S49" s="167"/>
      <c r="T49" s="167"/>
      <c r="U49" s="167"/>
      <c r="V49" s="167"/>
      <c r="W49" s="167"/>
    </row>
    <row r="50" spans="1:23" ht="18" x14ac:dyDescent="0.2">
      <c r="A50" s="180"/>
      <c r="B50" s="619"/>
      <c r="C50" s="325">
        <v>4</v>
      </c>
      <c r="D50" s="322" t="s">
        <v>328</v>
      </c>
      <c r="E50" s="322"/>
      <c r="F50" s="322"/>
      <c r="G50" s="322"/>
      <c r="H50" s="322"/>
      <c r="I50" s="328"/>
      <c r="J50" s="328"/>
      <c r="K50" s="325" t="s">
        <v>329</v>
      </c>
      <c r="L50" s="342">
        <f>J47-J48-J49</f>
        <v>240000</v>
      </c>
      <c r="M50" s="167"/>
      <c r="N50" s="167"/>
      <c r="O50" s="167"/>
      <c r="P50" s="167"/>
      <c r="Q50" s="167"/>
      <c r="R50" s="167"/>
      <c r="S50" s="167"/>
      <c r="T50" s="167"/>
      <c r="U50" s="167"/>
      <c r="V50" s="167"/>
      <c r="W50" s="167"/>
    </row>
    <row r="51" spans="1:23" ht="18" x14ac:dyDescent="0.2">
      <c r="A51" s="180"/>
      <c r="B51" s="619"/>
      <c r="C51" s="325">
        <v>5</v>
      </c>
      <c r="D51" s="322" t="s">
        <v>330</v>
      </c>
      <c r="E51" s="322"/>
      <c r="F51" s="322"/>
      <c r="G51" s="322"/>
      <c r="H51" s="322"/>
      <c r="I51" s="328"/>
      <c r="J51" s="328" t="s">
        <v>331</v>
      </c>
      <c r="K51" s="325" t="s">
        <v>332</v>
      </c>
      <c r="L51" s="375"/>
      <c r="M51" s="167"/>
      <c r="N51" s="167"/>
      <c r="O51" s="167"/>
      <c r="P51" s="167"/>
      <c r="Q51" s="167"/>
      <c r="R51" s="167"/>
      <c r="S51" s="167"/>
      <c r="T51" s="167"/>
      <c r="U51" s="167"/>
      <c r="V51" s="167"/>
      <c r="W51" s="167"/>
    </row>
    <row r="52" spans="1:23" ht="18" x14ac:dyDescent="0.2">
      <c r="A52" s="180"/>
      <c r="B52" s="619"/>
      <c r="C52" s="325">
        <v>6</v>
      </c>
      <c r="D52" s="322" t="s">
        <v>333</v>
      </c>
      <c r="E52" s="322"/>
      <c r="F52" s="322"/>
      <c r="G52" s="322"/>
      <c r="H52" s="322"/>
      <c r="I52" s="328"/>
      <c r="J52" s="328" t="s">
        <v>331</v>
      </c>
      <c r="K52" s="325" t="s">
        <v>334</v>
      </c>
      <c r="L52" s="375"/>
      <c r="M52" s="167"/>
      <c r="N52" s="167"/>
      <c r="O52" s="167"/>
      <c r="P52" s="167"/>
      <c r="Q52" s="167"/>
      <c r="R52" s="167"/>
      <c r="S52" s="167"/>
      <c r="T52" s="167"/>
      <c r="U52" s="167"/>
      <c r="V52" s="167"/>
      <c r="W52" s="167"/>
    </row>
    <row r="53" spans="1:23" ht="18" x14ac:dyDescent="0.2">
      <c r="A53" s="180"/>
      <c r="B53" s="619"/>
      <c r="C53" s="325">
        <v>7</v>
      </c>
      <c r="D53" s="322"/>
      <c r="E53" s="322"/>
      <c r="F53" s="324" t="s">
        <v>335</v>
      </c>
      <c r="G53" s="322"/>
      <c r="H53" s="322"/>
      <c r="I53" s="328"/>
      <c r="J53" s="328"/>
      <c r="K53" s="325" t="s">
        <v>336</v>
      </c>
      <c r="L53" s="343">
        <f>SUM(L50:L52)</f>
        <v>240000</v>
      </c>
      <c r="M53" s="167"/>
      <c r="N53" s="167"/>
      <c r="O53" s="167"/>
      <c r="P53" s="167"/>
      <c r="Q53" s="167"/>
      <c r="R53" s="167"/>
      <c r="S53" s="167"/>
      <c r="T53" s="167"/>
      <c r="U53" s="167"/>
      <c r="V53" s="167"/>
      <c r="W53" s="167"/>
    </row>
    <row r="54" spans="1:23" ht="18" x14ac:dyDescent="0.2">
      <c r="A54" s="180"/>
      <c r="B54" s="619"/>
      <c r="C54" s="326"/>
      <c r="D54" s="333"/>
      <c r="E54" s="333"/>
      <c r="F54" s="333"/>
      <c r="G54" s="333"/>
      <c r="H54" s="333"/>
      <c r="I54" s="334"/>
      <c r="J54" s="334"/>
      <c r="K54" s="326"/>
      <c r="L54" s="344"/>
      <c r="M54" s="167"/>
      <c r="N54" s="167"/>
      <c r="O54" s="167"/>
      <c r="P54" s="167"/>
      <c r="Q54" s="167"/>
      <c r="R54" s="167"/>
      <c r="S54" s="167"/>
      <c r="T54" s="167"/>
      <c r="U54" s="167"/>
      <c r="V54" s="167"/>
      <c r="W54" s="167"/>
    </row>
    <row r="55" spans="1:23" s="190" customFormat="1" ht="18" x14ac:dyDescent="0.2">
      <c r="A55" s="180"/>
      <c r="B55" s="610">
        <v>3</v>
      </c>
      <c r="C55" s="327"/>
      <c r="D55" s="336"/>
      <c r="E55" s="336"/>
      <c r="F55" s="336"/>
      <c r="G55" s="336"/>
      <c r="H55" s="336"/>
      <c r="I55" s="336"/>
      <c r="J55" s="336"/>
      <c r="K55" s="327"/>
      <c r="L55" s="338"/>
      <c r="M55" s="180"/>
      <c r="N55" s="180"/>
      <c r="O55" s="180"/>
      <c r="P55" s="180"/>
      <c r="Q55" s="180"/>
      <c r="R55" s="180"/>
      <c r="S55" s="180"/>
      <c r="T55" s="180"/>
      <c r="U55" s="180"/>
      <c r="V55" s="180"/>
      <c r="W55" s="180"/>
    </row>
    <row r="56" spans="1:23" s="190" customFormat="1" ht="18" x14ac:dyDescent="0.2">
      <c r="A56" s="180"/>
      <c r="B56" s="611"/>
      <c r="C56" s="325">
        <v>8</v>
      </c>
      <c r="D56" s="322" t="s">
        <v>337</v>
      </c>
      <c r="E56" s="322"/>
      <c r="F56" s="322"/>
      <c r="G56" s="322"/>
      <c r="H56" s="322"/>
      <c r="I56" s="328"/>
      <c r="J56" s="328" t="s">
        <v>331</v>
      </c>
      <c r="K56" s="325" t="s">
        <v>338</v>
      </c>
      <c r="L56" s="376">
        <v>1500</v>
      </c>
      <c r="M56" s="180"/>
      <c r="N56" s="180"/>
      <c r="O56" s="180"/>
      <c r="P56" s="180"/>
      <c r="Q56" s="180"/>
      <c r="R56" s="180"/>
      <c r="S56" s="180"/>
      <c r="T56" s="180"/>
      <c r="U56" s="180"/>
      <c r="V56" s="180"/>
      <c r="W56" s="180"/>
    </row>
    <row r="57" spans="1:23" s="190" customFormat="1" ht="18" x14ac:dyDescent="0.2">
      <c r="A57" s="180"/>
      <c r="B57" s="612" t="s">
        <v>339</v>
      </c>
      <c r="C57" s="325">
        <v>9</v>
      </c>
      <c r="D57" s="615" t="s">
        <v>340</v>
      </c>
      <c r="E57" s="322"/>
      <c r="F57" s="322" t="s">
        <v>341</v>
      </c>
      <c r="G57" s="323"/>
      <c r="H57" s="322"/>
      <c r="I57" s="328"/>
      <c r="J57" s="328"/>
      <c r="K57" s="325" t="s">
        <v>342</v>
      </c>
      <c r="L57" s="375">
        <v>14400</v>
      </c>
      <c r="M57" s="180"/>
      <c r="N57" s="180"/>
      <c r="O57" s="180"/>
      <c r="P57" s="180"/>
      <c r="Q57" s="180"/>
      <c r="R57" s="180"/>
      <c r="S57" s="180"/>
      <c r="T57" s="180"/>
      <c r="U57" s="180"/>
      <c r="V57" s="180"/>
      <c r="W57" s="180"/>
    </row>
    <row r="58" spans="1:23" s="190" customFormat="1" ht="18" x14ac:dyDescent="0.2">
      <c r="A58" s="180"/>
      <c r="B58" s="613"/>
      <c r="C58" s="325">
        <v>10</v>
      </c>
      <c r="D58" s="615"/>
      <c r="E58" s="322"/>
      <c r="F58" s="322" t="s">
        <v>343</v>
      </c>
      <c r="G58" s="323"/>
      <c r="H58" s="322"/>
      <c r="I58" s="328"/>
      <c r="J58" s="328"/>
      <c r="K58" s="325" t="s">
        <v>344</v>
      </c>
      <c r="L58" s="375">
        <v>8700</v>
      </c>
      <c r="M58" s="180"/>
      <c r="N58" s="180"/>
      <c r="O58" s="180"/>
      <c r="P58" s="180"/>
      <c r="Q58" s="180"/>
      <c r="R58" s="180"/>
      <c r="S58" s="180"/>
      <c r="T58" s="180"/>
      <c r="U58" s="180"/>
      <c r="V58" s="180"/>
      <c r="W58" s="180"/>
    </row>
    <row r="59" spans="1:23" s="190" customFormat="1" ht="18" x14ac:dyDescent="0.2">
      <c r="A59" s="180"/>
      <c r="B59" s="613"/>
      <c r="C59" s="325">
        <v>11</v>
      </c>
      <c r="D59" s="597" t="s">
        <v>345</v>
      </c>
      <c r="E59" s="322"/>
      <c r="F59" s="322" t="s">
        <v>346</v>
      </c>
      <c r="G59" s="323"/>
      <c r="H59" s="322"/>
      <c r="I59" s="328"/>
      <c r="J59" s="328"/>
      <c r="K59" s="325" t="s">
        <v>347</v>
      </c>
      <c r="L59" s="345"/>
      <c r="M59" s="180"/>
      <c r="N59" s="180"/>
      <c r="O59" s="180"/>
      <c r="P59" s="180"/>
      <c r="Q59" s="180"/>
      <c r="R59" s="180"/>
      <c r="S59" s="180"/>
      <c r="T59" s="180"/>
      <c r="U59" s="180"/>
      <c r="V59" s="180"/>
      <c r="W59" s="180"/>
    </row>
    <row r="60" spans="1:23" s="190" customFormat="1" ht="18" x14ac:dyDescent="0.2">
      <c r="A60" s="180"/>
      <c r="B60" s="613"/>
      <c r="C60" s="325">
        <v>12</v>
      </c>
      <c r="D60" s="597"/>
      <c r="E60" s="322"/>
      <c r="F60" s="322" t="s">
        <v>348</v>
      </c>
      <c r="G60" s="323"/>
      <c r="H60" s="322"/>
      <c r="I60" s="328"/>
      <c r="J60" s="328"/>
      <c r="K60" s="325" t="s">
        <v>349</v>
      </c>
      <c r="L60" s="375">
        <v>500</v>
      </c>
      <c r="M60" s="180"/>
      <c r="N60" s="180"/>
      <c r="O60" s="180"/>
      <c r="P60" s="180"/>
      <c r="Q60" s="180"/>
      <c r="R60" s="180"/>
      <c r="S60" s="180"/>
      <c r="T60" s="180"/>
      <c r="U60" s="180"/>
      <c r="V60" s="180"/>
      <c r="W60" s="180"/>
    </row>
    <row r="61" spans="1:23" s="190" customFormat="1" ht="18" x14ac:dyDescent="0.2">
      <c r="A61" s="180"/>
      <c r="B61" s="613"/>
      <c r="C61" s="325">
        <v>13</v>
      </c>
      <c r="D61" s="597"/>
      <c r="E61" s="322"/>
      <c r="F61" s="322" t="s">
        <v>350</v>
      </c>
      <c r="G61" s="323" t="s">
        <v>660</v>
      </c>
      <c r="H61" s="380">
        <f ca="1">'ch soc'!F61</f>
        <v>4453.472882968601</v>
      </c>
      <c r="I61" s="391" t="s">
        <v>572</v>
      </c>
      <c r="J61" s="379">
        <v>500</v>
      </c>
      <c r="K61" s="325" t="s">
        <v>351</v>
      </c>
      <c r="L61" s="381">
        <f ca="1">H61+J61</f>
        <v>4953.472882968601</v>
      </c>
      <c r="M61" s="180"/>
      <c r="N61" s="180"/>
      <c r="O61" s="180"/>
      <c r="P61" s="180"/>
      <c r="Q61" s="180"/>
      <c r="R61" s="180"/>
      <c r="S61" s="180"/>
      <c r="T61" s="180"/>
      <c r="U61" s="180"/>
      <c r="V61" s="180"/>
      <c r="W61" s="180"/>
    </row>
    <row r="62" spans="1:23" s="190" customFormat="1" ht="18" x14ac:dyDescent="0.2">
      <c r="A62" s="180"/>
      <c r="B62" s="613"/>
      <c r="C62" s="325">
        <v>14</v>
      </c>
      <c r="D62" s="329"/>
      <c r="E62" s="322"/>
      <c r="F62" s="322" t="s">
        <v>352</v>
      </c>
      <c r="G62" s="323"/>
      <c r="H62" s="322"/>
      <c r="I62" s="328"/>
      <c r="J62" s="287"/>
      <c r="K62" s="325" t="s">
        <v>353</v>
      </c>
      <c r="L62" s="381">
        <f ca="1">'ch soc'!F60</f>
        <v>7831.9695528068505</v>
      </c>
      <c r="M62" s="180"/>
      <c r="N62" s="180"/>
      <c r="O62" s="180"/>
      <c r="P62" s="180"/>
      <c r="Q62" s="180"/>
      <c r="R62" s="180"/>
      <c r="S62" s="180"/>
      <c r="T62" s="180"/>
      <c r="U62" s="180"/>
      <c r="V62" s="180"/>
      <c r="W62" s="180"/>
    </row>
    <row r="63" spans="1:23" s="190" customFormat="1" ht="18" x14ac:dyDescent="0.2">
      <c r="A63" s="180"/>
      <c r="B63" s="613"/>
      <c r="C63" s="325">
        <v>15</v>
      </c>
      <c r="D63" s="322" t="s">
        <v>354</v>
      </c>
      <c r="E63" s="322"/>
      <c r="F63" s="322"/>
      <c r="G63" s="322"/>
      <c r="H63" s="322"/>
      <c r="I63" s="328"/>
      <c r="J63" s="328"/>
      <c r="K63" s="325" t="s">
        <v>355</v>
      </c>
      <c r="L63" s="375">
        <v>18000</v>
      </c>
      <c r="M63" s="180"/>
      <c r="N63" s="180"/>
      <c r="O63" s="180"/>
      <c r="P63" s="180"/>
      <c r="Q63" s="180"/>
      <c r="R63" s="180"/>
      <c r="S63" s="180"/>
      <c r="T63" s="180"/>
      <c r="U63" s="180"/>
      <c r="V63" s="180"/>
      <c r="W63" s="180"/>
    </row>
    <row r="64" spans="1:23" s="190" customFormat="1" ht="18" x14ac:dyDescent="0.2">
      <c r="A64" s="180"/>
      <c r="B64" s="613"/>
      <c r="C64" s="325">
        <v>16</v>
      </c>
      <c r="D64" s="322" t="s">
        <v>356</v>
      </c>
      <c r="E64" s="322"/>
      <c r="F64" s="322"/>
      <c r="G64" s="322"/>
      <c r="H64" s="322"/>
      <c r="I64" s="328"/>
      <c r="J64" s="328"/>
      <c r="K64" s="325" t="s">
        <v>357</v>
      </c>
      <c r="L64" s="375">
        <v>4000</v>
      </c>
      <c r="M64" s="180"/>
      <c r="N64" s="180"/>
      <c r="O64" s="180"/>
      <c r="P64" s="180"/>
      <c r="Q64" s="180"/>
      <c r="R64" s="180"/>
      <c r="S64" s="180"/>
      <c r="T64" s="180"/>
      <c r="U64" s="180"/>
      <c r="V64" s="180"/>
      <c r="W64" s="180"/>
    </row>
    <row r="65" spans="1:23" s="190" customFormat="1" ht="18" x14ac:dyDescent="0.2">
      <c r="A65" s="180"/>
      <c r="B65" s="613"/>
      <c r="C65" s="325">
        <v>17</v>
      </c>
      <c r="D65" s="322" t="s">
        <v>712</v>
      </c>
      <c r="E65" s="322"/>
      <c r="F65" s="322"/>
      <c r="G65" s="322"/>
      <c r="H65" s="377">
        <v>4500</v>
      </c>
      <c r="I65" s="328"/>
      <c r="J65" s="328"/>
      <c r="K65" s="592" t="s">
        <v>358</v>
      </c>
      <c r="L65" s="594">
        <f>SUM(H65:H70)</f>
        <v>11900</v>
      </c>
      <c r="M65" s="180"/>
      <c r="N65" s="180"/>
      <c r="O65" s="180"/>
      <c r="P65" s="180"/>
      <c r="Q65" s="180"/>
      <c r="R65" s="180"/>
      <c r="S65" s="180"/>
      <c r="T65" s="180"/>
      <c r="U65" s="180"/>
      <c r="V65" s="180"/>
      <c r="W65" s="180"/>
    </row>
    <row r="66" spans="1:23" s="190" customFormat="1" ht="18" x14ac:dyDescent="0.2">
      <c r="A66" s="180"/>
      <c r="B66" s="613"/>
      <c r="C66" s="325">
        <v>18</v>
      </c>
      <c r="D66" s="322" t="s">
        <v>702</v>
      </c>
      <c r="E66" s="322"/>
      <c r="F66" s="322"/>
      <c r="G66" s="322"/>
      <c r="H66" s="377"/>
      <c r="I66" s="328"/>
      <c r="J66" s="328"/>
      <c r="K66" s="592"/>
      <c r="L66" s="595"/>
      <c r="M66" s="180"/>
      <c r="N66" s="180"/>
      <c r="O66" s="180"/>
      <c r="P66" s="180"/>
      <c r="Q66" s="180"/>
      <c r="R66" s="180"/>
      <c r="S66" s="180"/>
      <c r="T66" s="180"/>
      <c r="U66" s="180"/>
      <c r="V66" s="180"/>
      <c r="W66" s="180"/>
    </row>
    <row r="67" spans="1:23" s="190" customFormat="1" ht="18" x14ac:dyDescent="0.2">
      <c r="A67" s="180"/>
      <c r="B67" s="613"/>
      <c r="C67" s="325">
        <v>19</v>
      </c>
      <c r="D67" s="322" t="s">
        <v>703</v>
      </c>
      <c r="E67" s="322"/>
      <c r="F67" s="322"/>
      <c r="G67" s="322"/>
      <c r="H67" s="377"/>
      <c r="I67" s="328"/>
      <c r="J67" s="328"/>
      <c r="K67" s="592"/>
      <c r="L67" s="596"/>
      <c r="M67" s="180"/>
      <c r="N67" s="180"/>
      <c r="O67" s="180"/>
      <c r="P67" s="180"/>
      <c r="Q67" s="180"/>
      <c r="R67" s="180"/>
      <c r="S67" s="180"/>
      <c r="T67" s="180"/>
      <c r="U67" s="180"/>
      <c r="V67" s="180"/>
      <c r="W67" s="180"/>
    </row>
    <row r="68" spans="1:23" s="190" customFormat="1" ht="18" x14ac:dyDescent="0.2">
      <c r="A68" s="180"/>
      <c r="B68" s="613"/>
      <c r="C68" s="325">
        <v>20</v>
      </c>
      <c r="D68" s="322" t="s">
        <v>704</v>
      </c>
      <c r="E68" s="322"/>
      <c r="F68" s="322"/>
      <c r="G68" s="322"/>
      <c r="H68" s="377">
        <v>1400</v>
      </c>
      <c r="I68" s="328"/>
      <c r="J68" s="328"/>
      <c r="K68" s="592" t="s">
        <v>359</v>
      </c>
      <c r="L68" s="594"/>
      <c r="M68" s="180"/>
      <c r="N68" s="180"/>
      <c r="O68" s="180"/>
      <c r="P68" s="180"/>
      <c r="Q68" s="180"/>
      <c r="R68" s="180"/>
      <c r="S68" s="180"/>
      <c r="T68" s="180"/>
      <c r="U68" s="180"/>
      <c r="V68" s="180"/>
      <c r="W68" s="180"/>
    </row>
    <row r="69" spans="1:23" s="190" customFormat="1" ht="18" x14ac:dyDescent="0.2">
      <c r="A69" s="180"/>
      <c r="B69" s="613"/>
      <c r="C69" s="325">
        <v>21</v>
      </c>
      <c r="D69" s="322" t="s">
        <v>705</v>
      </c>
      <c r="E69" s="322"/>
      <c r="F69" s="322"/>
      <c r="G69" s="322"/>
      <c r="H69" s="377"/>
      <c r="I69" s="328"/>
      <c r="J69" s="328"/>
      <c r="K69" s="592"/>
      <c r="L69" s="595"/>
      <c r="M69" s="180"/>
      <c r="N69" s="191"/>
      <c r="O69" s="180"/>
      <c r="P69" s="180"/>
      <c r="Q69" s="180"/>
      <c r="R69" s="180"/>
      <c r="S69" s="180"/>
      <c r="T69" s="180"/>
      <c r="U69" s="180"/>
      <c r="V69" s="180"/>
      <c r="W69" s="180"/>
    </row>
    <row r="70" spans="1:23" s="190" customFormat="1" ht="18" x14ac:dyDescent="0.2">
      <c r="A70" s="180"/>
      <c r="B70" s="613"/>
      <c r="C70" s="325">
        <v>22</v>
      </c>
      <c r="D70" s="322" t="s">
        <v>706</v>
      </c>
      <c r="E70" s="322"/>
      <c r="F70" s="322"/>
      <c r="G70" s="322"/>
      <c r="H70" s="377">
        <v>6000</v>
      </c>
      <c r="I70" s="328"/>
      <c r="J70" s="328"/>
      <c r="K70" s="592"/>
      <c r="L70" s="595"/>
      <c r="M70" s="180"/>
      <c r="N70" s="180"/>
      <c r="O70" s="180"/>
      <c r="P70" s="180"/>
      <c r="Q70" s="180"/>
      <c r="R70" s="180"/>
      <c r="S70" s="180"/>
      <c r="T70" s="180"/>
      <c r="U70" s="180"/>
      <c r="V70" s="180"/>
      <c r="W70" s="180"/>
    </row>
    <row r="71" spans="1:23" s="190" customFormat="1" ht="18" x14ac:dyDescent="0.2">
      <c r="A71" s="180"/>
      <c r="B71" s="613"/>
      <c r="C71" s="325">
        <v>23</v>
      </c>
      <c r="D71" s="322" t="s">
        <v>707</v>
      </c>
      <c r="E71" s="629" t="s">
        <v>715</v>
      </c>
      <c r="F71" s="630"/>
      <c r="G71" s="390">
        <v>1000</v>
      </c>
      <c r="H71" s="377">
        <v>7000</v>
      </c>
      <c r="I71" s="328"/>
      <c r="J71" s="328"/>
      <c r="K71" s="592"/>
      <c r="L71" s="342">
        <f>SUM(H71:H72)</f>
        <v>7000</v>
      </c>
      <c r="M71" s="180"/>
      <c r="N71" s="192"/>
      <c r="O71" s="180"/>
      <c r="P71" s="180"/>
      <c r="Q71" s="180"/>
      <c r="R71" s="180"/>
      <c r="S71" s="180"/>
      <c r="T71" s="193"/>
      <c r="U71" s="180"/>
      <c r="V71" s="180"/>
      <c r="W71" s="180"/>
    </row>
    <row r="72" spans="1:23" s="190" customFormat="1" ht="18" x14ac:dyDescent="0.2">
      <c r="A72" s="180"/>
      <c r="B72" s="613"/>
      <c r="C72" s="325">
        <v>24</v>
      </c>
      <c r="D72" s="322" t="s">
        <v>708</v>
      </c>
      <c r="E72" s="322"/>
      <c r="F72" s="322"/>
      <c r="G72" s="322"/>
      <c r="H72" s="377"/>
      <c r="I72" s="328"/>
      <c r="J72" s="328"/>
      <c r="K72" s="592" t="s">
        <v>360</v>
      </c>
      <c r="L72" s="346"/>
      <c r="M72" s="180"/>
      <c r="N72" s="180"/>
      <c r="P72" s="180"/>
      <c r="Q72" s="180"/>
      <c r="R72" s="180"/>
      <c r="S72" s="180"/>
      <c r="T72" s="180"/>
      <c r="U72" s="180"/>
      <c r="V72" s="180"/>
      <c r="W72" s="180"/>
    </row>
    <row r="73" spans="1:23" s="190" customFormat="1" ht="18" x14ac:dyDescent="0.2">
      <c r="A73" s="180"/>
      <c r="B73" s="613"/>
      <c r="C73" s="325">
        <v>25</v>
      </c>
      <c r="D73" s="322" t="s">
        <v>361</v>
      </c>
      <c r="E73" s="322"/>
      <c r="F73" s="383" t="s">
        <v>570</v>
      </c>
      <c r="G73" s="380">
        <f ca="1">'ch soc'!B59-'ch soc'!C60</f>
        <v>31877.557066154048</v>
      </c>
      <c r="I73" s="382" t="s">
        <v>571</v>
      </c>
      <c r="J73" s="375">
        <v>100</v>
      </c>
      <c r="K73" s="592"/>
      <c r="L73" s="381">
        <f ca="1">G73+J73</f>
        <v>31977.557066154048</v>
      </c>
      <c r="M73" s="180"/>
      <c r="N73" s="180"/>
      <c r="O73" s="180"/>
      <c r="P73" s="180"/>
      <c r="Q73" s="180"/>
      <c r="R73" s="180"/>
      <c r="S73" s="180"/>
      <c r="T73" s="180"/>
      <c r="U73" s="180"/>
      <c r="V73" s="180"/>
      <c r="W73" s="180"/>
    </row>
    <row r="74" spans="1:23" s="190" customFormat="1" ht="18" x14ac:dyDescent="0.2">
      <c r="A74" s="180"/>
      <c r="B74" s="613"/>
      <c r="C74" s="325">
        <v>26</v>
      </c>
      <c r="D74" s="322" t="s">
        <v>362</v>
      </c>
      <c r="E74" s="322"/>
      <c r="F74" s="322"/>
      <c r="G74" s="322"/>
      <c r="H74" s="377">
        <v>2500</v>
      </c>
      <c r="I74" s="328"/>
      <c r="J74" s="328"/>
      <c r="K74" s="592" t="s">
        <v>363</v>
      </c>
      <c r="L74" s="591">
        <f>SUM(H74:H78)</f>
        <v>8000</v>
      </c>
      <c r="M74" s="180"/>
      <c r="N74" s="180"/>
      <c r="O74" s="180"/>
      <c r="P74" s="180"/>
      <c r="Q74" s="180"/>
      <c r="R74" s="180"/>
      <c r="S74" s="180"/>
      <c r="T74" s="180"/>
      <c r="U74" s="180"/>
      <c r="V74" s="180"/>
      <c r="W74" s="180"/>
    </row>
    <row r="75" spans="1:23" s="190" customFormat="1" ht="18" x14ac:dyDescent="0.2">
      <c r="A75" s="180"/>
      <c r="B75" s="613"/>
      <c r="C75" s="325">
        <v>27</v>
      </c>
      <c r="D75" s="322" t="s">
        <v>709</v>
      </c>
      <c r="E75" s="331"/>
      <c r="F75" s="331"/>
      <c r="G75" s="332"/>
      <c r="H75" s="377"/>
      <c r="I75" s="328"/>
      <c r="J75" s="328"/>
      <c r="K75" s="592"/>
      <c r="L75" s="591"/>
      <c r="M75" s="180"/>
      <c r="N75" s="180"/>
      <c r="O75" s="180"/>
      <c r="P75" s="180"/>
      <c r="Q75" s="180"/>
      <c r="R75" s="180"/>
      <c r="S75" s="180"/>
      <c r="T75" s="180"/>
      <c r="U75" s="180"/>
      <c r="V75" s="180"/>
      <c r="W75" s="180"/>
    </row>
    <row r="76" spans="1:23" s="190" customFormat="1" ht="18" x14ac:dyDescent="0.2">
      <c r="A76" s="180"/>
      <c r="B76" s="613"/>
      <c r="C76" s="325">
        <v>28</v>
      </c>
      <c r="D76" s="322" t="s">
        <v>710</v>
      </c>
      <c r="E76" s="322"/>
      <c r="F76" s="322"/>
      <c r="G76" s="322"/>
      <c r="H76" s="377"/>
      <c r="I76" s="328"/>
      <c r="J76" s="328"/>
      <c r="K76" s="592"/>
      <c r="L76" s="591"/>
      <c r="M76" s="180"/>
      <c r="N76" s="180"/>
      <c r="O76" s="180"/>
      <c r="P76" s="180"/>
      <c r="Q76" s="180"/>
      <c r="R76" s="180"/>
      <c r="S76" s="180"/>
      <c r="T76" s="180"/>
      <c r="U76" s="180"/>
      <c r="V76" s="180"/>
      <c r="W76" s="180"/>
    </row>
    <row r="77" spans="1:23" s="190" customFormat="1" ht="18" x14ac:dyDescent="0.2">
      <c r="A77" s="180"/>
      <c r="B77" s="613"/>
      <c r="C77" s="325">
        <v>29</v>
      </c>
      <c r="D77" s="322" t="s">
        <v>711</v>
      </c>
      <c r="E77" s="322"/>
      <c r="F77" s="322"/>
      <c r="G77" s="322"/>
      <c r="H77" s="377">
        <v>3500</v>
      </c>
      <c r="I77" s="328"/>
      <c r="J77" s="328"/>
      <c r="K77" s="592" t="s">
        <v>364</v>
      </c>
      <c r="L77" s="347"/>
      <c r="M77" s="180"/>
      <c r="N77" s="180"/>
      <c r="O77" s="180"/>
      <c r="P77" s="180"/>
      <c r="Q77" s="180"/>
      <c r="R77" s="180"/>
      <c r="S77" s="180"/>
      <c r="T77" s="180"/>
      <c r="U77" s="180"/>
      <c r="V77" s="180"/>
      <c r="W77" s="180"/>
    </row>
    <row r="78" spans="1:23" s="190" customFormat="1" ht="18" x14ac:dyDescent="0.2">
      <c r="A78" s="180"/>
      <c r="B78" s="613"/>
      <c r="C78" s="325">
        <v>30</v>
      </c>
      <c r="D78" s="322" t="s">
        <v>365</v>
      </c>
      <c r="E78" s="322"/>
      <c r="F78" s="322"/>
      <c r="G78" s="322"/>
      <c r="H78" s="377">
        <v>2000</v>
      </c>
      <c r="I78" s="328"/>
      <c r="J78" s="328"/>
      <c r="K78" s="592"/>
      <c r="L78" s="342"/>
      <c r="M78" s="180"/>
      <c r="N78" s="180"/>
      <c r="O78" s="180"/>
      <c r="P78" s="180"/>
      <c r="Q78" s="180"/>
      <c r="R78" s="180"/>
      <c r="S78" s="180"/>
      <c r="T78" s="180"/>
      <c r="U78" s="180"/>
      <c r="V78" s="180"/>
      <c r="W78" s="180"/>
    </row>
    <row r="79" spans="1:23" s="190" customFormat="1" ht="18" x14ac:dyDescent="0.2">
      <c r="A79" s="180"/>
      <c r="B79" s="613"/>
      <c r="C79" s="325">
        <v>31</v>
      </c>
      <c r="D79" s="322" t="s">
        <v>366</v>
      </c>
      <c r="E79" s="322"/>
      <c r="F79" s="322"/>
      <c r="G79" s="322"/>
      <c r="H79" s="322"/>
      <c r="I79" s="328"/>
      <c r="J79" s="328" t="s">
        <v>331</v>
      </c>
      <c r="K79" s="592"/>
      <c r="L79" s="378">
        <v>1600</v>
      </c>
      <c r="M79" s="180"/>
      <c r="N79" s="180"/>
      <c r="O79" s="180"/>
      <c r="P79" s="180"/>
      <c r="Q79" s="180"/>
      <c r="R79" s="180"/>
      <c r="S79" s="180"/>
      <c r="T79" s="180"/>
      <c r="U79" s="180"/>
      <c r="V79" s="180"/>
      <c r="W79" s="180"/>
    </row>
    <row r="80" spans="1:23" s="190" customFormat="1" ht="18" x14ac:dyDescent="0.2">
      <c r="A80" s="180"/>
      <c r="B80" s="613"/>
      <c r="C80" s="325">
        <v>32</v>
      </c>
      <c r="D80" s="322" t="s">
        <v>367</v>
      </c>
      <c r="E80" s="322"/>
      <c r="F80" s="322"/>
      <c r="G80" s="322"/>
      <c r="H80" s="322"/>
      <c r="I80" s="328"/>
      <c r="J80" s="328" t="s">
        <v>331</v>
      </c>
      <c r="K80" s="325" t="s">
        <v>368</v>
      </c>
      <c r="L80" s="375"/>
      <c r="M80" s="180"/>
      <c r="N80" s="180"/>
      <c r="O80" s="180"/>
      <c r="P80" s="180"/>
      <c r="Q80" s="180"/>
      <c r="R80" s="180"/>
      <c r="S80" s="180"/>
      <c r="T80" s="180"/>
      <c r="U80" s="180"/>
      <c r="V80" s="180"/>
      <c r="W80" s="180"/>
    </row>
    <row r="81" spans="1:23" s="190" customFormat="1" ht="18" x14ac:dyDescent="0.2">
      <c r="A81" s="180"/>
      <c r="B81" s="613"/>
      <c r="C81" s="325">
        <v>33</v>
      </c>
      <c r="D81" s="322"/>
      <c r="E81" s="322"/>
      <c r="F81" s="324" t="s">
        <v>369</v>
      </c>
      <c r="G81" s="322"/>
      <c r="H81" s="322"/>
      <c r="I81" s="328"/>
      <c r="J81" s="328"/>
      <c r="K81" s="325" t="s">
        <v>370</v>
      </c>
      <c r="L81" s="348">
        <f ca="1">SUM(L56:L80)</f>
        <v>120362.9995019295</v>
      </c>
      <c r="M81" s="180"/>
      <c r="N81" s="180"/>
      <c r="O81" s="180"/>
      <c r="P81" s="180"/>
      <c r="Q81" s="180"/>
      <c r="R81" s="180"/>
      <c r="S81" s="180"/>
      <c r="T81" s="180"/>
      <c r="U81" s="180"/>
      <c r="V81" s="180"/>
      <c r="W81" s="180"/>
    </row>
    <row r="82" spans="1:23" s="190" customFormat="1" ht="18" x14ac:dyDescent="0.2">
      <c r="A82" s="180"/>
      <c r="B82" s="614"/>
      <c r="C82" s="326"/>
      <c r="D82" s="333"/>
      <c r="E82" s="333"/>
      <c r="F82" s="333"/>
      <c r="G82" s="333"/>
      <c r="H82" s="333"/>
      <c r="I82" s="334"/>
      <c r="J82" s="335"/>
      <c r="K82" s="326"/>
      <c r="L82" s="344"/>
      <c r="M82" s="180"/>
      <c r="N82" s="180"/>
      <c r="O82" s="180"/>
      <c r="P82" s="180"/>
      <c r="Q82" s="180"/>
      <c r="R82" s="180"/>
      <c r="S82" s="180"/>
      <c r="T82" s="180"/>
      <c r="U82" s="180"/>
      <c r="V82" s="180"/>
      <c r="W82" s="180"/>
    </row>
    <row r="83" spans="1:23" s="190" customFormat="1" ht="39" customHeight="1" x14ac:dyDescent="0.2">
      <c r="A83" s="180"/>
      <c r="B83" s="599" t="s">
        <v>373</v>
      </c>
      <c r="C83" s="327"/>
      <c r="D83" s="336"/>
      <c r="E83" s="336"/>
      <c r="F83" s="336"/>
      <c r="G83" s="336"/>
      <c r="H83" s="336"/>
      <c r="I83" s="336"/>
      <c r="J83" s="336"/>
      <c r="K83" s="327"/>
      <c r="L83" s="338"/>
      <c r="M83" s="180"/>
      <c r="N83" s="180"/>
      <c r="O83" s="180"/>
      <c r="P83" s="180"/>
      <c r="Q83" s="180"/>
      <c r="R83" s="180"/>
      <c r="S83" s="180"/>
      <c r="T83" s="180"/>
      <c r="U83" s="180"/>
      <c r="V83" s="180"/>
      <c r="W83" s="180"/>
    </row>
    <row r="84" spans="1:23" s="190" customFormat="1" ht="18" x14ac:dyDescent="0.2">
      <c r="A84" s="180"/>
      <c r="B84" s="600"/>
      <c r="C84" s="325">
        <v>34</v>
      </c>
      <c r="D84" s="324" t="s">
        <v>371</v>
      </c>
      <c r="E84" s="324"/>
      <c r="F84" s="322"/>
      <c r="G84" s="322"/>
      <c r="H84" s="322"/>
      <c r="I84" s="328"/>
      <c r="J84" s="328"/>
      <c r="K84" s="325" t="s">
        <v>372</v>
      </c>
      <c r="L84" s="349">
        <f ca="1">IF(L53&gt;L81,L53-L81,)</f>
        <v>119637.0004980705</v>
      </c>
      <c r="M84" s="180"/>
      <c r="N84" s="180"/>
      <c r="O84" s="180"/>
      <c r="P84" s="180"/>
      <c r="Q84" s="180"/>
      <c r="R84" s="180"/>
      <c r="S84" s="180"/>
      <c r="T84" s="180"/>
      <c r="U84" s="180"/>
      <c r="V84" s="180"/>
      <c r="W84" s="180"/>
    </row>
    <row r="85" spans="1:23" s="190" customFormat="1" ht="18" customHeight="1" x14ac:dyDescent="0.2">
      <c r="A85" s="180"/>
      <c r="B85" s="600"/>
      <c r="C85" s="325">
        <v>35</v>
      </c>
      <c r="D85" s="322" t="s">
        <v>748</v>
      </c>
      <c r="E85" s="322"/>
      <c r="F85" s="322"/>
      <c r="G85" s="322"/>
      <c r="H85" s="322"/>
      <c r="I85" s="328"/>
      <c r="J85" s="328"/>
      <c r="K85" s="325" t="s">
        <v>374</v>
      </c>
      <c r="L85" s="375"/>
      <c r="M85" s="180"/>
      <c r="U85" s="180"/>
      <c r="V85" s="180"/>
      <c r="W85" s="180"/>
    </row>
    <row r="86" spans="1:23" s="190" customFormat="1" ht="18" x14ac:dyDescent="0.2">
      <c r="A86" s="180"/>
      <c r="B86" s="600"/>
      <c r="C86" s="325">
        <v>36</v>
      </c>
      <c r="D86" s="322" t="s">
        <v>375</v>
      </c>
      <c r="E86" s="322"/>
      <c r="F86" s="322" t="s">
        <v>660</v>
      </c>
      <c r="G86" s="380">
        <f ca="1">'ch soc'!F61</f>
        <v>4453.472882968601</v>
      </c>
      <c r="H86" s="322" t="s">
        <v>572</v>
      </c>
      <c r="I86" s="287"/>
      <c r="J86" s="375"/>
      <c r="K86" s="325" t="s">
        <v>376</v>
      </c>
      <c r="L86" s="350">
        <f ca="1">G86</f>
        <v>4453.472882968601</v>
      </c>
      <c r="M86" s="180"/>
      <c r="U86" s="180"/>
      <c r="V86" s="180"/>
      <c r="W86" s="180"/>
    </row>
    <row r="87" spans="1:23" s="190" customFormat="1" ht="18" x14ac:dyDescent="0.2">
      <c r="A87" s="180"/>
      <c r="B87" s="600"/>
      <c r="C87" s="325">
        <v>37</v>
      </c>
      <c r="D87" s="322" t="s">
        <v>377</v>
      </c>
      <c r="E87" s="322"/>
      <c r="F87" s="322"/>
      <c r="G87" s="322"/>
      <c r="H87" s="322"/>
      <c r="I87" s="328"/>
      <c r="J87" s="330"/>
      <c r="K87" s="325" t="s">
        <v>378</v>
      </c>
      <c r="L87" s="375"/>
      <c r="M87" s="180"/>
      <c r="U87" s="180"/>
      <c r="V87" s="180"/>
      <c r="W87" s="180"/>
    </row>
    <row r="88" spans="1:23" s="190" customFormat="1" ht="18" x14ac:dyDescent="0.2">
      <c r="A88" s="180"/>
      <c r="B88" s="600"/>
      <c r="C88" s="325">
        <v>38</v>
      </c>
      <c r="D88" s="322"/>
      <c r="E88" s="322"/>
      <c r="F88" s="324" t="s">
        <v>379</v>
      </c>
      <c r="G88" s="324"/>
      <c r="H88" s="324"/>
      <c r="I88" s="351"/>
      <c r="J88" s="351"/>
      <c r="K88" s="352" t="s">
        <v>380</v>
      </c>
      <c r="L88" s="348">
        <f ca="1">SUM(L84:L87)</f>
        <v>124090.4733810391</v>
      </c>
      <c r="M88" s="180"/>
      <c r="N88" s="180"/>
      <c r="O88" s="180"/>
      <c r="P88" s="180"/>
      <c r="Q88" s="180"/>
      <c r="R88" s="180"/>
      <c r="S88" s="180"/>
      <c r="T88" s="180"/>
      <c r="U88" s="180"/>
      <c r="V88" s="180"/>
      <c r="W88" s="180"/>
    </row>
    <row r="89" spans="1:23" s="190" customFormat="1" ht="18" x14ac:dyDescent="0.2">
      <c r="A89" s="180"/>
      <c r="B89" s="600"/>
      <c r="C89" s="325">
        <v>39</v>
      </c>
      <c r="D89" s="324" t="s">
        <v>381</v>
      </c>
      <c r="E89" s="324"/>
      <c r="F89" s="322"/>
      <c r="G89" s="322"/>
      <c r="H89" s="322"/>
      <c r="I89" s="328"/>
      <c r="J89" s="328"/>
      <c r="K89" s="325" t="s">
        <v>382</v>
      </c>
      <c r="L89" s="348">
        <f ca="1">IF(L53&lt;L81,L81-L53,)</f>
        <v>0</v>
      </c>
      <c r="M89" s="180"/>
      <c r="N89" s="180"/>
      <c r="O89" s="180"/>
      <c r="P89" s="180"/>
      <c r="Q89" s="180"/>
      <c r="R89" s="180"/>
      <c r="S89" s="180"/>
      <c r="T89" s="180"/>
      <c r="U89" s="180"/>
      <c r="V89" s="180"/>
      <c r="W89" s="180"/>
    </row>
    <row r="90" spans="1:23" s="190" customFormat="1" ht="18" x14ac:dyDescent="0.2">
      <c r="A90" s="180"/>
      <c r="B90" s="600"/>
      <c r="C90" s="325">
        <v>40</v>
      </c>
      <c r="D90" s="322" t="s">
        <v>383</v>
      </c>
      <c r="E90" s="322"/>
      <c r="F90" s="322"/>
      <c r="G90" s="322"/>
      <c r="H90" s="322"/>
      <c r="I90" s="328"/>
      <c r="J90" s="328"/>
      <c r="K90" s="325" t="s">
        <v>384</v>
      </c>
      <c r="L90" s="375"/>
      <c r="M90" s="180"/>
      <c r="N90" s="180"/>
      <c r="O90" s="180"/>
      <c r="P90" s="180"/>
      <c r="Q90" s="180"/>
      <c r="R90" s="180"/>
      <c r="S90" s="180"/>
      <c r="T90" s="180"/>
      <c r="U90" s="180"/>
      <c r="V90" s="180"/>
      <c r="W90" s="180"/>
    </row>
    <row r="91" spans="1:23" s="190" customFormat="1" ht="18" x14ac:dyDescent="0.2">
      <c r="A91" s="180"/>
      <c r="B91" s="600"/>
      <c r="C91" s="325">
        <v>41</v>
      </c>
      <c r="D91" s="322" t="s">
        <v>385</v>
      </c>
      <c r="E91" s="322"/>
      <c r="F91" s="322"/>
      <c r="G91" s="322"/>
      <c r="H91" s="322"/>
      <c r="I91" s="328"/>
      <c r="J91" s="328"/>
      <c r="K91" s="325" t="s">
        <v>386</v>
      </c>
      <c r="L91" s="375">
        <v>2500</v>
      </c>
      <c r="M91" s="180"/>
      <c r="N91" s="180"/>
      <c r="O91" s="180"/>
      <c r="P91" s="180"/>
      <c r="Q91" s="180"/>
      <c r="R91" s="180"/>
      <c r="S91" s="180"/>
      <c r="T91" s="180"/>
      <c r="U91" s="180"/>
      <c r="V91" s="180"/>
      <c r="W91" s="180"/>
    </row>
    <row r="92" spans="1:23" s="190" customFormat="1" ht="18" x14ac:dyDescent="0.2">
      <c r="A92" s="180"/>
      <c r="B92" s="600"/>
      <c r="C92" s="325">
        <v>42</v>
      </c>
      <c r="D92" s="322" t="s">
        <v>387</v>
      </c>
      <c r="E92" s="322"/>
      <c r="F92" s="322"/>
      <c r="G92" s="322"/>
      <c r="H92" s="322"/>
      <c r="I92" s="328"/>
      <c r="J92" s="328"/>
      <c r="K92" s="325" t="s">
        <v>388</v>
      </c>
      <c r="L92" s="375"/>
      <c r="M92" s="180"/>
      <c r="N92" s="180"/>
      <c r="O92" s="180"/>
      <c r="P92" s="180"/>
      <c r="Q92" s="180"/>
      <c r="R92" s="180"/>
      <c r="S92" s="180"/>
      <c r="T92" s="180"/>
      <c r="U92" s="180"/>
      <c r="V92" s="180"/>
      <c r="W92" s="180"/>
    </row>
    <row r="93" spans="1:23" s="190" customFormat="1" ht="18" x14ac:dyDescent="0.2">
      <c r="A93" s="180"/>
      <c r="B93" s="600"/>
      <c r="C93" s="325">
        <v>43</v>
      </c>
      <c r="D93" s="322" t="s">
        <v>389</v>
      </c>
      <c r="E93" s="322"/>
      <c r="F93" s="322"/>
      <c r="G93" s="353"/>
      <c r="H93" s="322"/>
      <c r="I93" s="287"/>
      <c r="J93" s="328" t="s">
        <v>331</v>
      </c>
      <c r="K93" s="325" t="s">
        <v>390</v>
      </c>
      <c r="L93" s="375"/>
      <c r="M93" s="180"/>
      <c r="N93" s="180"/>
      <c r="O93" s="180"/>
      <c r="P93" s="180"/>
      <c r="Q93" s="180"/>
      <c r="R93" s="180"/>
      <c r="S93" s="180"/>
      <c r="T93" s="180"/>
      <c r="U93" s="180"/>
      <c r="V93" s="180"/>
      <c r="W93" s="180"/>
    </row>
    <row r="94" spans="1:23" s="190" customFormat="1" ht="18" x14ac:dyDescent="0.2">
      <c r="A94" s="180"/>
      <c r="B94" s="600"/>
      <c r="C94" s="325">
        <v>44</v>
      </c>
      <c r="D94" s="322" t="s">
        <v>391</v>
      </c>
      <c r="E94" s="322"/>
      <c r="F94" s="322"/>
      <c r="G94" s="322"/>
      <c r="H94" s="322"/>
      <c r="I94" s="328"/>
      <c r="J94" s="328"/>
      <c r="K94" s="325" t="s">
        <v>392</v>
      </c>
      <c r="L94" s="375"/>
      <c r="M94" s="180"/>
      <c r="N94" s="180"/>
      <c r="O94" s="180"/>
      <c r="P94" s="180"/>
      <c r="Q94" s="180"/>
      <c r="R94" s="180"/>
      <c r="S94" s="180"/>
      <c r="T94" s="180"/>
      <c r="U94" s="180"/>
      <c r="V94" s="180"/>
      <c r="W94" s="180"/>
    </row>
    <row r="95" spans="1:23" s="190" customFormat="1" ht="18.75" thickBot="1" x14ac:dyDescent="0.25">
      <c r="A95" s="180"/>
      <c r="B95" s="600"/>
      <c r="C95" s="325">
        <v>45</v>
      </c>
      <c r="D95" s="322"/>
      <c r="E95" s="322"/>
      <c r="F95" s="324" t="s">
        <v>393</v>
      </c>
      <c r="G95" s="324"/>
      <c r="H95" s="324"/>
      <c r="I95" s="351"/>
      <c r="J95" s="351"/>
      <c r="K95" s="352" t="s">
        <v>394</v>
      </c>
      <c r="L95" s="354">
        <f ca="1">SUM(L89:L94)</f>
        <v>2500</v>
      </c>
      <c r="M95" s="180"/>
      <c r="N95" s="180"/>
      <c r="O95" s="180"/>
      <c r="P95" s="180"/>
      <c r="Q95" s="180"/>
      <c r="R95" s="180"/>
      <c r="S95" s="180"/>
      <c r="T95" s="180"/>
      <c r="U95" s="180"/>
      <c r="V95" s="180"/>
      <c r="W95" s="180"/>
    </row>
    <row r="96" spans="1:23" s="190" customFormat="1" ht="18" x14ac:dyDescent="0.2">
      <c r="A96" s="180"/>
      <c r="B96" s="600"/>
      <c r="C96" s="325">
        <v>46</v>
      </c>
      <c r="D96" s="324" t="s">
        <v>395</v>
      </c>
      <c r="E96" s="324"/>
      <c r="F96" s="324"/>
      <c r="G96" s="324"/>
      <c r="H96" s="324"/>
      <c r="I96" s="351"/>
      <c r="J96" s="351"/>
      <c r="K96" s="355" t="s">
        <v>396</v>
      </c>
      <c r="L96" s="356">
        <f ca="1">IF(L88&gt;L95,L88-L95,)</f>
        <v>121590.4733810391</v>
      </c>
      <c r="M96" s="180"/>
      <c r="N96" s="180"/>
      <c r="O96" s="180"/>
      <c r="P96" s="180"/>
      <c r="Q96" s="180"/>
      <c r="R96" s="180"/>
      <c r="S96" s="180"/>
      <c r="T96" s="180"/>
      <c r="U96" s="180"/>
      <c r="V96" s="180"/>
      <c r="W96" s="180"/>
    </row>
    <row r="97" spans="1:31" s="190" customFormat="1" ht="18" x14ac:dyDescent="0.2">
      <c r="A97" s="180"/>
      <c r="B97" s="600"/>
      <c r="C97" s="325">
        <v>47</v>
      </c>
      <c r="D97" s="324" t="s">
        <v>397</v>
      </c>
      <c r="E97" s="324"/>
      <c r="F97" s="324"/>
      <c r="G97" s="324"/>
      <c r="H97" s="324"/>
      <c r="I97" s="351"/>
      <c r="J97" s="351"/>
      <c r="K97" s="355" t="s">
        <v>398</v>
      </c>
      <c r="L97" s="357">
        <f ca="1">IF(L88&lt;L95,L95-L88,)</f>
        <v>0</v>
      </c>
      <c r="M97" s="180"/>
      <c r="N97" s="180"/>
      <c r="O97" s="180"/>
      <c r="P97" s="180"/>
      <c r="Q97" s="180"/>
      <c r="R97" s="180"/>
      <c r="S97" s="180"/>
      <c r="T97" s="180"/>
      <c r="U97" s="180"/>
      <c r="V97" s="180"/>
      <c r="W97" s="180"/>
    </row>
    <row r="98" spans="1:31" s="190" customFormat="1" ht="18.75" thickBot="1" x14ac:dyDescent="0.25">
      <c r="A98" s="180"/>
      <c r="B98" s="601"/>
      <c r="C98" s="326"/>
      <c r="D98" s="333"/>
      <c r="E98" s="333"/>
      <c r="F98" s="333"/>
      <c r="G98" s="333"/>
      <c r="H98" s="333"/>
      <c r="I98" s="334"/>
      <c r="J98" s="334"/>
      <c r="K98" s="358"/>
      <c r="L98" s="359"/>
      <c r="M98" s="180"/>
      <c r="N98" s="180"/>
      <c r="O98" s="180"/>
      <c r="P98" s="180"/>
      <c r="Q98" s="180"/>
      <c r="R98" s="180"/>
      <c r="S98" s="180"/>
      <c r="T98" s="180"/>
      <c r="U98" s="180"/>
      <c r="V98" s="180"/>
      <c r="W98" s="180"/>
    </row>
    <row r="99" spans="1:31" s="190" customFormat="1" ht="18" x14ac:dyDescent="0.2">
      <c r="A99" s="180"/>
      <c r="C99" s="616"/>
      <c r="D99" s="616"/>
      <c r="E99" s="616"/>
      <c r="F99" s="616"/>
      <c r="G99" s="616"/>
      <c r="H99" s="616"/>
      <c r="I99" s="616"/>
      <c r="J99" s="616"/>
      <c r="K99" s="194"/>
      <c r="L99" s="194"/>
      <c r="M99" s="180"/>
      <c r="N99" s="180"/>
      <c r="O99" s="180"/>
      <c r="P99" s="180"/>
      <c r="Q99" s="180"/>
      <c r="R99" s="180"/>
      <c r="S99" s="180"/>
      <c r="T99" s="180"/>
      <c r="U99" s="180"/>
      <c r="V99" s="180"/>
      <c r="W99" s="180"/>
    </row>
    <row r="100" spans="1:31" s="190" customFormat="1" ht="18" x14ac:dyDescent="0.2">
      <c r="A100" s="167"/>
      <c r="B100" s="167"/>
      <c r="C100" s="166"/>
      <c r="D100" s="166"/>
      <c r="E100" s="166"/>
      <c r="F100" s="166"/>
      <c r="G100" s="166"/>
      <c r="H100" s="166"/>
      <c r="I100" s="167"/>
      <c r="J100" s="167"/>
      <c r="K100" s="167"/>
      <c r="L100" s="167"/>
      <c r="M100" s="167"/>
      <c r="O100" s="180"/>
      <c r="P100" s="180"/>
      <c r="Q100" s="180"/>
      <c r="R100" s="180"/>
      <c r="S100" s="180"/>
      <c r="T100" s="180"/>
      <c r="U100" s="180"/>
      <c r="V100" s="180"/>
      <c r="W100" s="180"/>
      <c r="X100" s="180"/>
      <c r="Y100" s="180"/>
      <c r="Z100" s="180"/>
      <c r="AA100" s="180"/>
      <c r="AB100" s="180"/>
      <c r="AC100" s="180"/>
      <c r="AD100" s="180"/>
      <c r="AE100" s="180"/>
    </row>
    <row r="101" spans="1:31" s="190" customFormat="1" ht="18" x14ac:dyDescent="0.2">
      <c r="A101" s="167"/>
      <c r="C101" s="173"/>
      <c r="D101" s="590" t="s">
        <v>603</v>
      </c>
      <c r="E101" s="590"/>
      <c r="F101" s="590"/>
      <c r="G101" s="590"/>
      <c r="H101" s="590"/>
      <c r="I101" s="590"/>
      <c r="J101" s="590"/>
      <c r="K101" s="175"/>
      <c r="L101" s="175"/>
      <c r="M101" s="167"/>
      <c r="O101" s="180"/>
      <c r="P101" s="180"/>
      <c r="Q101" s="180"/>
      <c r="R101" s="180"/>
      <c r="S101" s="180"/>
      <c r="T101" s="180"/>
      <c r="U101" s="180"/>
      <c r="V101" s="180"/>
      <c r="W101" s="180"/>
      <c r="X101" s="180"/>
      <c r="Y101" s="180"/>
      <c r="Z101" s="180"/>
      <c r="AA101" s="180"/>
      <c r="AB101" s="180"/>
      <c r="AC101" s="180"/>
      <c r="AD101" s="180"/>
      <c r="AE101" s="180"/>
    </row>
    <row r="102" spans="1:31" s="190" customFormat="1" ht="18" x14ac:dyDescent="0.2">
      <c r="A102" s="167"/>
      <c r="B102" s="167"/>
      <c r="C102" s="166"/>
      <c r="D102" s="166"/>
      <c r="E102" s="166"/>
      <c r="F102" s="166"/>
      <c r="G102" s="166"/>
      <c r="H102" s="166"/>
      <c r="I102" s="167"/>
      <c r="J102" s="167"/>
      <c r="K102" s="167"/>
      <c r="L102" s="167"/>
      <c r="M102" s="167"/>
      <c r="O102" s="180"/>
      <c r="P102" s="180"/>
      <c r="Q102" s="180"/>
      <c r="R102" s="180"/>
      <c r="S102" s="180"/>
      <c r="T102" s="180"/>
      <c r="U102" s="180"/>
      <c r="V102" s="180"/>
      <c r="W102" s="180"/>
      <c r="X102" s="180"/>
      <c r="Y102" s="180"/>
      <c r="Z102" s="180"/>
      <c r="AA102" s="180"/>
      <c r="AB102" s="180"/>
      <c r="AC102" s="180"/>
      <c r="AD102" s="180"/>
      <c r="AE102" s="180"/>
    </row>
    <row r="103" spans="1:31" s="190" customFormat="1" ht="18" x14ac:dyDescent="0.2">
      <c r="A103" s="167"/>
      <c r="B103" s="167"/>
      <c r="C103" s="170" t="s">
        <v>601</v>
      </c>
      <c r="D103" s="196"/>
      <c r="E103" s="196"/>
      <c r="F103" s="196"/>
      <c r="G103" s="196"/>
      <c r="H103" s="196"/>
      <c r="I103" s="196"/>
      <c r="J103" s="167"/>
      <c r="K103" s="167"/>
      <c r="L103" s="167"/>
      <c r="M103" s="167"/>
      <c r="O103" s="180"/>
      <c r="P103" s="180"/>
      <c r="Q103" s="180"/>
      <c r="R103" s="180"/>
      <c r="S103" s="180"/>
      <c r="T103" s="180"/>
      <c r="U103" s="180"/>
      <c r="V103" s="180"/>
      <c r="W103" s="180"/>
      <c r="X103" s="180"/>
      <c r="Y103" s="180"/>
      <c r="Z103" s="180"/>
      <c r="AA103" s="180"/>
      <c r="AB103" s="180"/>
      <c r="AC103" s="180"/>
      <c r="AD103" s="180"/>
      <c r="AE103" s="180"/>
    </row>
    <row r="104" spans="1:31" s="190" customFormat="1" ht="18" x14ac:dyDescent="0.2">
      <c r="A104" s="167"/>
      <c r="B104" s="167"/>
      <c r="C104" s="196"/>
      <c r="D104" s="196"/>
      <c r="E104" s="196"/>
      <c r="F104" s="196"/>
      <c r="G104" s="196"/>
      <c r="H104" s="196"/>
      <c r="I104" s="196"/>
      <c r="J104" s="167"/>
      <c r="K104" s="166"/>
      <c r="L104" s="166"/>
      <c r="M104" s="166"/>
      <c r="O104" s="180"/>
      <c r="P104" s="180"/>
      <c r="Q104" s="180"/>
      <c r="R104" s="180"/>
      <c r="S104" s="180"/>
      <c r="T104" s="180"/>
      <c r="U104" s="180"/>
      <c r="V104" s="180"/>
      <c r="W104" s="180"/>
      <c r="X104" s="180"/>
      <c r="Y104" s="180"/>
      <c r="Z104" s="180"/>
      <c r="AA104" s="180"/>
      <c r="AB104" s="180"/>
      <c r="AC104" s="180"/>
      <c r="AD104" s="180"/>
      <c r="AE104" s="180"/>
    </row>
    <row r="105" spans="1:31" s="190" customFormat="1" ht="18" customHeight="1" x14ac:dyDescent="0.2">
      <c r="A105" s="167"/>
      <c r="B105" s="167"/>
      <c r="C105" s="593" t="s">
        <v>724</v>
      </c>
      <c r="D105" s="593"/>
      <c r="E105" s="170">
        <f ca="1">'ch soc'!B41</f>
        <v>18908.657998351562</v>
      </c>
      <c r="F105" s="196"/>
      <c r="G105" s="196"/>
      <c r="H105" s="196"/>
      <c r="I105" s="196"/>
      <c r="J105" s="167"/>
      <c r="O105" s="180"/>
      <c r="P105" s="180"/>
      <c r="Q105" s="180"/>
      <c r="R105" s="180"/>
      <c r="S105" s="180"/>
      <c r="T105" s="180"/>
      <c r="U105" s="180"/>
      <c r="V105" s="180"/>
      <c r="W105" s="180"/>
      <c r="X105" s="180"/>
      <c r="Y105" s="180"/>
      <c r="Z105" s="180"/>
      <c r="AA105" s="180"/>
      <c r="AB105" s="180"/>
      <c r="AC105" s="180"/>
      <c r="AD105" s="180"/>
      <c r="AE105" s="180"/>
    </row>
    <row r="106" spans="1:31" s="273" customFormat="1" ht="18" x14ac:dyDescent="0.2">
      <c r="A106" s="196"/>
      <c r="B106" s="196"/>
      <c r="C106" s="593"/>
      <c r="D106" s="593"/>
      <c r="F106" s="196"/>
      <c r="G106" s="196"/>
      <c r="H106" s="196"/>
      <c r="I106" s="196"/>
      <c r="J106" s="196"/>
      <c r="O106" s="180"/>
      <c r="P106" s="180"/>
      <c r="Q106" s="180"/>
      <c r="R106" s="180"/>
      <c r="S106" s="180"/>
      <c r="T106" s="180"/>
      <c r="U106" s="180"/>
      <c r="V106" s="180"/>
      <c r="W106" s="274"/>
      <c r="X106" s="274"/>
      <c r="Y106" s="274"/>
      <c r="Z106" s="274"/>
      <c r="AA106" s="274"/>
      <c r="AB106" s="274"/>
      <c r="AC106" s="274"/>
      <c r="AD106" s="274"/>
      <c r="AE106" s="274"/>
    </row>
    <row r="107" spans="1:31" s="190" customFormat="1" ht="18" customHeight="1" x14ac:dyDescent="0.2">
      <c r="A107" s="167"/>
      <c r="B107" s="167"/>
      <c r="C107" s="407" t="str">
        <f ca="1">CONCATENATE("RETRAITE (",'ch soc'!G39,")")</f>
        <v>RETRAITE (CAVEC)</v>
      </c>
      <c r="D107" s="407"/>
      <c r="E107" s="170">
        <f ca="1">+'ch soc'!E39</f>
        <v>17862.491574096628</v>
      </c>
      <c r="F107" s="196"/>
      <c r="G107" s="196"/>
      <c r="H107" s="196"/>
      <c r="I107" s="196"/>
      <c r="J107" s="167"/>
      <c r="O107" s="180"/>
      <c r="P107" s="180"/>
      <c r="Q107" s="180"/>
      <c r="R107" s="180"/>
      <c r="S107" s="180"/>
      <c r="T107" s="180"/>
      <c r="U107" s="180"/>
      <c r="V107" s="180"/>
      <c r="W107" s="180"/>
      <c r="X107" s="180"/>
      <c r="Y107" s="180"/>
      <c r="Z107" s="180"/>
      <c r="AA107" s="180"/>
      <c r="AB107" s="180"/>
      <c r="AC107" s="180"/>
      <c r="AD107" s="180"/>
      <c r="AE107" s="180"/>
    </row>
    <row r="108" spans="1:31" s="254" customFormat="1" ht="18" x14ac:dyDescent="0.2">
      <c r="A108" s="196"/>
      <c r="B108" s="196"/>
      <c r="C108" s="593"/>
      <c r="D108" s="593"/>
      <c r="E108" s="196"/>
      <c r="F108" s="196"/>
      <c r="G108" s="196"/>
      <c r="H108" s="196"/>
      <c r="I108" s="196"/>
      <c r="O108" s="180"/>
      <c r="P108" s="180"/>
      <c r="Q108" s="180"/>
      <c r="R108" s="180"/>
      <c r="S108" s="180"/>
      <c r="T108" s="180"/>
      <c r="U108" s="180"/>
      <c r="V108" s="180"/>
      <c r="W108" s="196"/>
      <c r="X108" s="196"/>
      <c r="Y108" s="196"/>
      <c r="Z108" s="196"/>
      <c r="AA108" s="196"/>
      <c r="AB108" s="196"/>
      <c r="AC108" s="196"/>
      <c r="AD108" s="196"/>
      <c r="AE108" s="196"/>
    </row>
    <row r="109" spans="1:31" ht="18" customHeight="1" x14ac:dyDescent="0.2">
      <c r="A109" s="167"/>
      <c r="B109" s="167"/>
      <c r="C109" s="593" t="s">
        <v>675</v>
      </c>
      <c r="D109" s="593"/>
      <c r="E109" s="170">
        <f ca="1">'ch soc'!B57</f>
        <v>7391.8499294813073</v>
      </c>
      <c r="F109" s="196"/>
      <c r="G109" s="196"/>
      <c r="H109" s="196"/>
      <c r="I109" s="196"/>
      <c r="O109" s="180"/>
      <c r="P109" s="180"/>
      <c r="Q109" s="180"/>
      <c r="R109" s="180"/>
      <c r="S109" s="180"/>
      <c r="T109" s="180"/>
      <c r="U109" s="180"/>
      <c r="V109" s="180"/>
      <c r="W109" s="167"/>
      <c r="X109" s="167"/>
      <c r="Y109" s="167"/>
      <c r="Z109" s="167"/>
      <c r="AA109" s="167"/>
      <c r="AB109" s="167"/>
      <c r="AC109" s="167"/>
      <c r="AD109" s="167"/>
      <c r="AE109" s="167"/>
    </row>
    <row r="110" spans="1:31" s="254" customFormat="1" ht="18" x14ac:dyDescent="0.2">
      <c r="A110" s="196"/>
      <c r="B110" s="196"/>
      <c r="C110" s="554"/>
      <c r="D110" s="554"/>
      <c r="E110" s="196"/>
      <c r="F110" s="196"/>
      <c r="G110" s="196"/>
      <c r="H110" s="196"/>
      <c r="I110" s="196"/>
      <c r="J110" s="196"/>
      <c r="O110" s="180"/>
      <c r="P110" s="180"/>
      <c r="Q110" s="180"/>
      <c r="R110" s="180"/>
      <c r="S110" s="180"/>
      <c r="T110" s="180"/>
      <c r="U110" s="180"/>
      <c r="V110" s="180"/>
      <c r="W110" s="196"/>
      <c r="X110" s="196"/>
      <c r="Y110" s="196"/>
      <c r="Z110" s="196"/>
      <c r="AA110" s="196"/>
      <c r="AB110" s="196"/>
      <c r="AC110" s="196"/>
      <c r="AD110" s="196"/>
      <c r="AE110" s="196"/>
    </row>
    <row r="111" spans="1:31" ht="18" customHeight="1" x14ac:dyDescent="0.2">
      <c r="A111" s="167"/>
      <c r="B111" s="167"/>
      <c r="C111" s="555" t="s">
        <v>44</v>
      </c>
      <c r="D111" s="555"/>
      <c r="E111" s="170">
        <f ca="1">'ch soc'!B59</f>
        <v>44162.999501929502</v>
      </c>
      <c r="F111" s="196"/>
      <c r="G111" s="196"/>
      <c r="H111" s="196"/>
      <c r="I111" s="196"/>
      <c r="O111" s="180"/>
      <c r="P111" s="180"/>
      <c r="Q111" s="180"/>
      <c r="R111" s="180"/>
      <c r="S111" s="180"/>
      <c r="T111" s="180"/>
      <c r="U111" s="180"/>
      <c r="V111" s="180"/>
      <c r="W111" s="167"/>
      <c r="X111" s="167"/>
      <c r="Y111" s="167"/>
      <c r="Z111" s="167"/>
      <c r="AA111" s="167"/>
      <c r="AB111" s="167"/>
      <c r="AC111" s="167"/>
      <c r="AD111" s="167"/>
      <c r="AE111" s="167"/>
    </row>
    <row r="112" spans="1:31" ht="24" customHeight="1" x14ac:dyDescent="0.2">
      <c r="A112" s="167"/>
      <c r="B112" s="167"/>
      <c r="C112" s="196"/>
      <c r="D112" s="196"/>
      <c r="E112" s="588" t="s">
        <v>18</v>
      </c>
      <c r="F112" s="589">
        <f ca="1">'ch soc'!C60</f>
        <v>12285.442435775452</v>
      </c>
      <c r="G112" s="196" t="s">
        <v>142</v>
      </c>
      <c r="H112" s="196">
        <f ca="1">'ch soc'!F60</f>
        <v>7831.9695528068505</v>
      </c>
      <c r="I112" s="196"/>
      <c r="O112" s="180"/>
      <c r="P112" s="180"/>
      <c r="Q112" s="180"/>
      <c r="R112" s="180"/>
      <c r="S112" s="180"/>
      <c r="T112" s="180"/>
      <c r="U112" s="180"/>
      <c r="V112" s="180"/>
      <c r="W112" s="167"/>
      <c r="X112" s="167"/>
      <c r="Y112" s="167"/>
      <c r="Z112" s="167"/>
      <c r="AA112" s="167"/>
      <c r="AB112" s="167"/>
      <c r="AC112" s="167"/>
      <c r="AD112" s="167"/>
      <c r="AE112" s="167"/>
    </row>
    <row r="113" spans="1:31" ht="24" customHeight="1" x14ac:dyDescent="0.2">
      <c r="A113" s="167"/>
      <c r="B113" s="167"/>
      <c r="C113" s="196"/>
      <c r="D113" s="196"/>
      <c r="E113" s="588"/>
      <c r="F113" s="589"/>
      <c r="G113" s="196" t="s">
        <v>5</v>
      </c>
      <c r="H113" s="196">
        <f ca="1">'ch soc'!F61</f>
        <v>4453.472882968601</v>
      </c>
      <c r="I113" s="196"/>
      <c r="Q113" s="167"/>
      <c r="R113" s="167"/>
      <c r="S113" s="167"/>
      <c r="T113" s="167"/>
      <c r="U113" s="167"/>
      <c r="V113" s="167"/>
      <c r="W113" s="167"/>
      <c r="X113" s="167"/>
      <c r="Y113" s="167"/>
      <c r="Z113" s="167"/>
      <c r="AA113" s="167"/>
      <c r="AB113" s="167"/>
      <c r="AC113" s="167"/>
      <c r="AD113" s="167"/>
      <c r="AE113" s="167"/>
    </row>
    <row r="114" spans="1:31" ht="18" x14ac:dyDescent="0.2">
      <c r="A114" s="167"/>
      <c r="B114" s="167"/>
      <c r="C114" s="196"/>
      <c r="D114" s="196"/>
      <c r="E114" s="196"/>
      <c r="F114" s="196"/>
      <c r="G114" s="196"/>
      <c r="H114" s="196"/>
      <c r="I114" s="196"/>
      <c r="Q114" s="167"/>
      <c r="R114" s="167"/>
      <c r="S114" s="167"/>
      <c r="T114" s="167"/>
      <c r="U114" s="167"/>
      <c r="V114" s="167"/>
      <c r="W114" s="167"/>
      <c r="X114" s="167"/>
      <c r="Y114" s="167"/>
      <c r="Z114" s="167"/>
      <c r="AA114" s="167"/>
      <c r="AB114" s="167"/>
      <c r="AC114" s="167"/>
      <c r="AD114" s="167"/>
      <c r="AE114" s="167"/>
    </row>
    <row r="115" spans="1:31" ht="18" x14ac:dyDescent="0.2">
      <c r="A115" s="167"/>
      <c r="B115" s="167"/>
      <c r="C115" s="196"/>
      <c r="D115" s="196"/>
      <c r="E115" s="196"/>
      <c r="F115" s="196"/>
      <c r="G115" s="196"/>
      <c r="H115" s="196"/>
      <c r="I115" s="196"/>
      <c r="Q115" s="167"/>
      <c r="R115" s="167"/>
      <c r="S115" s="167"/>
      <c r="T115" s="167"/>
      <c r="U115" s="167"/>
      <c r="V115" s="167"/>
      <c r="W115" s="167"/>
      <c r="X115" s="167"/>
      <c r="Y115" s="167"/>
      <c r="Z115" s="167"/>
      <c r="AA115" s="167"/>
      <c r="AB115" s="167"/>
      <c r="AC115" s="167"/>
      <c r="AD115" s="167"/>
      <c r="AE115" s="167"/>
    </row>
    <row r="116" spans="1:31" ht="18" x14ac:dyDescent="0.2">
      <c r="A116" s="167"/>
      <c r="B116" s="167"/>
      <c r="C116" s="167"/>
      <c r="D116" s="167"/>
      <c r="E116" s="167"/>
      <c r="F116" s="167"/>
      <c r="G116" s="167"/>
      <c r="H116" s="167"/>
      <c r="I116" s="167"/>
      <c r="J116" s="171"/>
      <c r="Q116" s="167"/>
      <c r="R116" s="167"/>
      <c r="S116" s="167"/>
      <c r="T116" s="167"/>
      <c r="U116" s="167"/>
      <c r="V116" s="167"/>
      <c r="W116" s="167"/>
      <c r="X116" s="167"/>
      <c r="Y116" s="167"/>
      <c r="Z116" s="167"/>
      <c r="AA116" s="167"/>
      <c r="AB116" s="167"/>
      <c r="AC116" s="167"/>
      <c r="AD116" s="167"/>
      <c r="AE116" s="167"/>
    </row>
    <row r="117" spans="1:31" ht="18" x14ac:dyDescent="0.2">
      <c r="A117" s="167"/>
      <c r="C117" s="173"/>
      <c r="D117" s="590" t="s">
        <v>604</v>
      </c>
      <c r="E117" s="590"/>
      <c r="F117" s="590"/>
      <c r="G117" s="590"/>
      <c r="H117" s="590"/>
      <c r="I117" s="590"/>
      <c r="J117" s="590"/>
      <c r="K117" s="175"/>
      <c r="L117" s="175"/>
      <c r="M117" s="167"/>
      <c r="N117" s="167"/>
      <c r="O117" s="167"/>
      <c r="P117" s="167"/>
      <c r="Q117" s="167"/>
      <c r="R117" s="167"/>
      <c r="S117" s="167"/>
      <c r="T117" s="167"/>
      <c r="U117" s="167"/>
      <c r="V117" s="167"/>
      <c r="W117" s="167"/>
    </row>
    <row r="118" spans="1:31" ht="18" x14ac:dyDescent="0.2">
      <c r="A118" s="167"/>
      <c r="I118" s="167"/>
      <c r="J118" s="171"/>
      <c r="K118" s="167"/>
      <c r="L118" s="167"/>
      <c r="M118" s="167"/>
      <c r="N118" s="167"/>
      <c r="O118" s="167"/>
      <c r="P118" s="167"/>
      <c r="Q118" s="167"/>
      <c r="R118" s="167"/>
      <c r="S118" s="167"/>
      <c r="T118" s="167"/>
      <c r="U118" s="167"/>
      <c r="V118" s="167"/>
      <c r="W118" s="167"/>
    </row>
    <row r="119" spans="1:31" ht="18" x14ac:dyDescent="0.2">
      <c r="A119" s="167"/>
      <c r="C119" s="167" t="s">
        <v>600</v>
      </c>
      <c r="D119" s="275">
        <f ca="1">L96</f>
        <v>121590.4733810391</v>
      </c>
      <c r="E119" s="167" t="s">
        <v>6</v>
      </c>
      <c r="F119" s="167"/>
      <c r="G119" s="167"/>
      <c r="H119" s="167"/>
      <c r="I119" s="167"/>
      <c r="J119" s="167"/>
      <c r="K119" s="167"/>
      <c r="L119" s="167"/>
      <c r="M119" s="171"/>
      <c r="N119" s="171"/>
      <c r="O119" s="171"/>
      <c r="P119" s="171"/>
      <c r="Q119" s="171"/>
      <c r="R119" s="167"/>
      <c r="S119" s="167"/>
      <c r="T119" s="167"/>
      <c r="U119" s="167"/>
      <c r="V119" s="167"/>
      <c r="W119" s="167"/>
    </row>
    <row r="120" spans="1:31" ht="18" x14ac:dyDescent="0.2">
      <c r="A120" s="167"/>
      <c r="C120" s="167"/>
      <c r="D120" s="167"/>
      <c r="E120" s="167"/>
      <c r="F120" s="167"/>
      <c r="G120" s="167"/>
      <c r="H120" s="167"/>
      <c r="I120" s="167"/>
      <c r="J120" s="167"/>
      <c r="K120" s="167"/>
      <c r="L120" s="167"/>
      <c r="M120" s="167"/>
      <c r="N120" s="167"/>
      <c r="O120" s="167"/>
      <c r="P120" s="167"/>
      <c r="Q120" s="167"/>
      <c r="R120" s="167"/>
      <c r="S120" s="167"/>
      <c r="T120" s="167"/>
      <c r="U120" s="167"/>
      <c r="V120" s="167"/>
      <c r="W120" s="167"/>
    </row>
    <row r="121" spans="1:31" ht="18" x14ac:dyDescent="0.2">
      <c r="C121" s="167" t="s">
        <v>605</v>
      </c>
      <c r="D121" s="167"/>
      <c r="E121" s="167"/>
      <c r="F121" s="167"/>
      <c r="G121" s="167"/>
      <c r="H121" s="167"/>
      <c r="I121" s="167"/>
      <c r="J121" s="167"/>
      <c r="K121" s="167"/>
      <c r="L121" s="167"/>
      <c r="M121" s="167"/>
      <c r="N121" s="167"/>
      <c r="O121" s="167"/>
      <c r="P121" s="167"/>
      <c r="Q121" s="167"/>
      <c r="R121" s="167"/>
      <c r="S121" s="167"/>
      <c r="T121" s="167"/>
      <c r="U121" s="167"/>
      <c r="V121" s="167"/>
      <c r="W121" s="167"/>
    </row>
    <row r="122" spans="1:31" ht="18" x14ac:dyDescent="0.2">
      <c r="C122" s="167" t="s">
        <v>39</v>
      </c>
      <c r="D122" s="167"/>
      <c r="E122" s="167"/>
      <c r="F122" s="167"/>
      <c r="G122" s="167"/>
      <c r="H122" s="167"/>
      <c r="I122" s="167"/>
      <c r="J122" s="167"/>
      <c r="K122" s="167"/>
      <c r="L122" s="167"/>
      <c r="M122" s="167"/>
      <c r="N122" s="167"/>
      <c r="O122" s="167"/>
      <c r="P122" s="167"/>
      <c r="Q122" s="167"/>
      <c r="R122" s="167"/>
      <c r="S122" s="167"/>
      <c r="T122" s="167"/>
      <c r="U122" s="167"/>
      <c r="V122" s="167"/>
      <c r="W122" s="167"/>
    </row>
    <row r="123" spans="1:31" ht="18" x14ac:dyDescent="0.2">
      <c r="C123" s="167"/>
      <c r="D123" s="167"/>
      <c r="E123" s="167"/>
      <c r="F123" s="167"/>
      <c r="G123" s="167"/>
      <c r="H123" s="167"/>
      <c r="I123" s="167"/>
      <c r="J123" s="167"/>
      <c r="K123" s="167"/>
      <c r="L123" s="167"/>
      <c r="M123" s="167"/>
      <c r="N123" s="167"/>
      <c r="O123" s="167"/>
      <c r="P123" s="167"/>
      <c r="Q123" s="167"/>
      <c r="R123" s="167"/>
      <c r="S123" s="167"/>
      <c r="T123" s="167"/>
      <c r="U123" s="167"/>
      <c r="V123" s="167"/>
      <c r="W123" s="167"/>
    </row>
    <row r="124" spans="1:31" ht="18" x14ac:dyDescent="0.2">
      <c r="C124" s="167"/>
      <c r="D124" s="167"/>
      <c r="E124" s="167"/>
      <c r="F124" s="167"/>
      <c r="G124" s="167"/>
      <c r="H124" s="167"/>
      <c r="I124" s="171"/>
      <c r="J124" s="171"/>
      <c r="K124" s="171"/>
      <c r="L124" s="171"/>
      <c r="M124" s="167"/>
      <c r="N124" s="167"/>
      <c r="O124" s="167"/>
      <c r="P124" s="167"/>
      <c r="Q124" s="167"/>
      <c r="R124" s="167"/>
      <c r="S124" s="167"/>
      <c r="T124" s="167"/>
      <c r="U124" s="167"/>
      <c r="V124" s="167"/>
      <c r="W124" s="167"/>
    </row>
    <row r="125" spans="1:31" ht="18" x14ac:dyDescent="0.2">
      <c r="C125" s="167" t="s">
        <v>606</v>
      </c>
      <c r="D125" s="167"/>
      <c r="E125" s="167"/>
      <c r="F125" s="167"/>
      <c r="G125" s="167"/>
      <c r="H125" s="167"/>
      <c r="I125" s="167"/>
      <c r="J125" s="167"/>
      <c r="K125" s="167"/>
      <c r="L125" s="167"/>
      <c r="M125" s="167"/>
      <c r="N125" s="167"/>
      <c r="O125" s="167"/>
      <c r="P125" s="167"/>
      <c r="Q125" s="167"/>
      <c r="R125" s="167"/>
      <c r="S125" s="167"/>
      <c r="T125" s="167"/>
      <c r="U125" s="167"/>
      <c r="V125" s="167"/>
      <c r="W125" s="167"/>
    </row>
    <row r="126" spans="1:31" ht="18" x14ac:dyDescent="0.2">
      <c r="C126" s="167"/>
      <c r="D126" s="167"/>
      <c r="E126" s="167"/>
      <c r="F126" s="167"/>
      <c r="G126" s="167"/>
      <c r="H126" s="167"/>
      <c r="I126" s="167"/>
      <c r="J126" s="167"/>
      <c r="K126" s="167"/>
      <c r="L126" s="167"/>
      <c r="M126" s="167"/>
      <c r="N126" s="167"/>
      <c r="O126" s="167"/>
      <c r="P126" s="167"/>
      <c r="Q126" s="167"/>
      <c r="R126" s="167"/>
      <c r="S126" s="167"/>
      <c r="T126" s="167"/>
      <c r="U126" s="167"/>
      <c r="V126" s="167"/>
      <c r="W126" s="167"/>
    </row>
    <row r="127" spans="1:31" ht="18" customHeight="1" x14ac:dyDescent="0.2">
      <c r="C127" s="167" t="s">
        <v>597</v>
      </c>
      <c r="D127" s="167"/>
      <c r="E127" s="167">
        <f ca="1">L96</f>
        <v>121590.4733810391</v>
      </c>
      <c r="F127" s="167"/>
      <c r="G127" s="167"/>
      <c r="H127" s="167"/>
      <c r="I127" s="167"/>
      <c r="J127" s="167"/>
      <c r="K127" s="167"/>
      <c r="L127" s="167"/>
      <c r="M127" s="167"/>
      <c r="N127" s="167"/>
      <c r="O127" s="167"/>
      <c r="P127" s="167"/>
      <c r="Q127" s="167"/>
      <c r="R127" s="167"/>
      <c r="S127" s="167"/>
      <c r="T127" s="167"/>
      <c r="U127" s="167"/>
      <c r="V127" s="167"/>
      <c r="W127" s="167"/>
    </row>
    <row r="128" spans="1:31" ht="8.1" customHeight="1" x14ac:dyDescent="0.2">
      <c r="C128" s="167"/>
      <c r="D128" s="167"/>
      <c r="E128" s="167"/>
      <c r="F128" s="167"/>
      <c r="G128" s="167"/>
      <c r="H128" s="167"/>
      <c r="I128" s="167"/>
      <c r="J128" s="167"/>
      <c r="K128" s="167"/>
      <c r="L128" s="167"/>
      <c r="M128" s="167"/>
      <c r="N128" s="167"/>
      <c r="O128" s="167"/>
      <c r="P128" s="167"/>
      <c r="Q128" s="167"/>
      <c r="R128" s="167"/>
      <c r="S128" s="167"/>
      <c r="T128" s="167"/>
      <c r="U128" s="167"/>
      <c r="V128" s="167"/>
      <c r="W128" s="167"/>
    </row>
    <row r="129" spans="1:23" ht="18" customHeight="1" x14ac:dyDescent="0.2">
      <c r="C129" s="167" t="s">
        <v>599</v>
      </c>
      <c r="D129" s="167"/>
      <c r="E129" s="394">
        <v>30000</v>
      </c>
      <c r="F129" s="167"/>
      <c r="G129" s="167"/>
      <c r="H129" s="167"/>
      <c r="I129" s="167"/>
      <c r="J129" s="171"/>
      <c r="K129" s="167"/>
      <c r="L129" s="167"/>
      <c r="M129" s="167"/>
      <c r="N129" s="167"/>
      <c r="O129" s="167"/>
      <c r="P129" s="167"/>
      <c r="Q129" s="167"/>
      <c r="R129" s="167"/>
      <c r="S129" s="167"/>
      <c r="T129" s="167"/>
      <c r="U129" s="167"/>
      <c r="V129" s="167"/>
      <c r="W129" s="167"/>
    </row>
    <row r="130" spans="1:23" s="205" customFormat="1" ht="8.1" customHeight="1" x14ac:dyDescent="0.2">
      <c r="C130" s="168"/>
      <c r="D130" s="168"/>
      <c r="E130" s="395"/>
      <c r="F130" s="168"/>
      <c r="G130" s="168"/>
      <c r="H130" s="168"/>
      <c r="I130" s="168"/>
      <c r="J130" s="297"/>
      <c r="K130" s="168"/>
      <c r="L130" s="168"/>
      <c r="M130" s="168"/>
      <c r="N130" s="168"/>
      <c r="O130" s="168"/>
      <c r="P130" s="168"/>
      <c r="Q130" s="168"/>
      <c r="R130" s="168"/>
      <c r="S130" s="168"/>
      <c r="T130" s="168"/>
      <c r="U130" s="168"/>
      <c r="V130" s="168"/>
      <c r="W130" s="168"/>
    </row>
    <row r="131" spans="1:23" ht="29.25" customHeight="1" x14ac:dyDescent="0.2">
      <c r="C131" s="171" t="s">
        <v>656</v>
      </c>
      <c r="D131" s="167"/>
      <c r="E131" s="396">
        <f ca="1">SUM(E127:E129)</f>
        <v>151590.4733810391</v>
      </c>
      <c r="F131" s="167"/>
      <c r="G131" s="167"/>
      <c r="H131" s="167"/>
      <c r="I131" s="167"/>
      <c r="J131" s="167"/>
      <c r="K131" s="167"/>
      <c r="L131" s="167"/>
      <c r="M131" s="167"/>
      <c r="N131" s="167"/>
      <c r="O131" s="167"/>
      <c r="P131" s="167"/>
      <c r="Q131" s="167"/>
      <c r="R131" s="167"/>
      <c r="S131" s="167"/>
      <c r="T131" s="167"/>
      <c r="U131" s="167"/>
      <c r="V131" s="167"/>
      <c r="W131" s="167"/>
    </row>
    <row r="132" spans="1:23" ht="18" x14ac:dyDescent="0.2">
      <c r="C132" s="167"/>
      <c r="D132" s="167"/>
      <c r="E132" s="167"/>
      <c r="F132" s="167"/>
      <c r="G132" s="167"/>
      <c r="H132" s="167"/>
      <c r="I132" s="167"/>
      <c r="J132" s="167"/>
      <c r="K132" s="167"/>
      <c r="L132" s="167"/>
      <c r="M132" s="167"/>
      <c r="N132" s="167"/>
      <c r="O132" s="167"/>
      <c r="P132" s="167"/>
      <c r="Q132" s="167"/>
      <c r="R132" s="167"/>
      <c r="S132" s="167"/>
      <c r="T132" s="167"/>
      <c r="U132" s="167"/>
      <c r="V132" s="167"/>
      <c r="W132" s="167"/>
    </row>
    <row r="133" spans="1:23" ht="18" x14ac:dyDescent="0.2">
      <c r="C133" s="198" t="s">
        <v>658</v>
      </c>
      <c r="D133" s="167"/>
      <c r="E133" s="167"/>
      <c r="F133" s="167"/>
      <c r="G133" s="167"/>
      <c r="H133" s="167"/>
      <c r="I133" s="167"/>
      <c r="J133" s="196"/>
      <c r="K133" s="196"/>
      <c r="L133" s="167"/>
      <c r="M133" s="167"/>
      <c r="N133" s="167"/>
      <c r="O133" s="167"/>
      <c r="P133" s="167"/>
      <c r="Q133" s="167"/>
      <c r="R133" s="167"/>
      <c r="S133" s="167"/>
      <c r="T133" s="167"/>
      <c r="U133" s="167"/>
      <c r="V133" s="167"/>
      <c r="W133" s="167"/>
    </row>
    <row r="134" spans="1:23" ht="34.5" customHeight="1" x14ac:dyDescent="0.2">
      <c r="C134" s="167" t="s">
        <v>657</v>
      </c>
      <c r="D134" s="167"/>
      <c r="E134" s="389">
        <v>2</v>
      </c>
      <c r="F134" s="623" t="s">
        <v>749</v>
      </c>
      <c r="G134" s="623"/>
      <c r="H134" s="623"/>
      <c r="I134" s="623"/>
      <c r="J134" s="623"/>
      <c r="K134" s="623"/>
      <c r="L134" s="623"/>
      <c r="M134" s="167"/>
      <c r="N134" s="167"/>
      <c r="O134" s="167"/>
      <c r="P134" s="167"/>
      <c r="Q134" s="167"/>
      <c r="R134" s="167"/>
      <c r="S134" s="167"/>
      <c r="T134" s="167"/>
      <c r="U134" s="167"/>
      <c r="V134" s="167"/>
      <c r="W134" s="167"/>
    </row>
    <row r="135" spans="1:23" ht="18" x14ac:dyDescent="0.2">
      <c r="C135" s="167"/>
      <c r="D135" s="167"/>
      <c r="E135" s="167"/>
      <c r="F135" s="167"/>
      <c r="G135" s="167"/>
      <c r="H135" s="167"/>
      <c r="I135" s="167"/>
      <c r="J135" s="196"/>
      <c r="K135" s="196"/>
      <c r="L135" s="167"/>
      <c r="M135" s="167"/>
      <c r="N135" s="167"/>
      <c r="O135" s="167"/>
      <c r="P135" s="167"/>
      <c r="Q135" s="167"/>
      <c r="R135" s="167"/>
      <c r="S135" s="167"/>
      <c r="T135" s="167"/>
      <c r="U135" s="167"/>
      <c r="V135" s="167"/>
      <c r="W135" s="167"/>
    </row>
    <row r="136" spans="1:23" ht="18" x14ac:dyDescent="0.2">
      <c r="C136" s="167"/>
      <c r="D136" s="167"/>
      <c r="E136" s="167"/>
      <c r="F136" s="167"/>
      <c r="G136" s="167"/>
      <c r="H136" s="167"/>
      <c r="I136" s="167"/>
      <c r="J136" s="167"/>
      <c r="K136" s="167"/>
      <c r="L136" s="167"/>
      <c r="M136" s="167"/>
      <c r="N136" s="167"/>
      <c r="O136" s="167"/>
      <c r="P136" s="167"/>
      <c r="Q136" s="167"/>
      <c r="R136" s="167"/>
      <c r="S136" s="167"/>
      <c r="T136" s="167"/>
      <c r="U136" s="167"/>
      <c r="V136" s="167"/>
      <c r="W136" s="167"/>
    </row>
    <row r="137" spans="1:23" ht="18" x14ac:dyDescent="0.2">
      <c r="C137" s="171" t="s">
        <v>588</v>
      </c>
      <c r="D137" s="167"/>
      <c r="E137" s="401">
        <f ca="1">IF(simulateur!E134=1,ir!C33,IF(simulateur!E134=1.5,ir!D33,IF(simulateur!E134=2,ir!E33,IF(simulateur!E134=2.5,ir!F33,IF(simulateur!E134=3,ir!G33,IF(simulateur!E134=3.5,ir!H33,IF(simulateur!E134=4,ir!I33,IF(simulateur!E134=4.5,ir!J33,ir!K33))))))))</f>
        <v>35437.094086226032</v>
      </c>
      <c r="F137" s="360" t="s">
        <v>750</v>
      </c>
      <c r="G137" s="167"/>
      <c r="H137" s="167"/>
      <c r="I137" s="167"/>
      <c r="J137" s="167"/>
      <c r="K137" s="167"/>
      <c r="L137" s="167"/>
      <c r="M137" s="167"/>
      <c r="N137" s="167"/>
      <c r="O137" s="199"/>
      <c r="P137" s="167"/>
      <c r="Q137" s="167"/>
      <c r="R137" s="167"/>
      <c r="S137" s="167"/>
      <c r="T137" s="167"/>
      <c r="U137" s="167"/>
      <c r="V137" s="167"/>
      <c r="W137" s="167"/>
    </row>
    <row r="138" spans="1:23" ht="18" x14ac:dyDescent="0.2">
      <c r="I138" s="167"/>
      <c r="J138" s="167"/>
      <c r="K138" s="167"/>
      <c r="L138" s="167"/>
      <c r="M138" s="167"/>
      <c r="N138" s="167"/>
      <c r="O138" s="167"/>
      <c r="P138" s="167"/>
      <c r="Q138" s="167"/>
      <c r="R138" s="167"/>
      <c r="S138" s="167"/>
      <c r="T138" s="167"/>
      <c r="U138" s="167"/>
      <c r="V138" s="167"/>
      <c r="W138" s="167"/>
    </row>
    <row r="139" spans="1:23" ht="18" x14ac:dyDescent="0.2">
      <c r="K139" s="167"/>
      <c r="L139" s="167"/>
      <c r="M139" s="167"/>
      <c r="N139" s="167"/>
      <c r="O139" s="199"/>
      <c r="P139" s="167"/>
      <c r="Q139" s="167"/>
      <c r="R139" s="167"/>
      <c r="S139" s="167"/>
      <c r="T139" s="167"/>
      <c r="U139" s="167"/>
      <c r="V139" s="167"/>
      <c r="W139" s="167"/>
    </row>
    <row r="140" spans="1:23" ht="18" x14ac:dyDescent="0.2">
      <c r="B140" s="170"/>
      <c r="C140" s="170"/>
      <c r="D140" s="590" t="s">
        <v>607</v>
      </c>
      <c r="E140" s="590"/>
      <c r="F140" s="590"/>
      <c r="G140" s="590"/>
      <c r="H140" s="590"/>
      <c r="I140" s="590"/>
      <c r="J140" s="590"/>
      <c r="K140" s="167"/>
      <c r="L140" s="175"/>
    </row>
    <row r="141" spans="1:23" ht="18" x14ac:dyDescent="0.2">
      <c r="K141" s="167"/>
      <c r="L141" s="167"/>
      <c r="M141" s="167"/>
      <c r="N141" s="167"/>
      <c r="O141" s="167"/>
      <c r="P141" s="167"/>
      <c r="Q141" s="167"/>
      <c r="R141" s="167"/>
      <c r="S141" s="167"/>
      <c r="T141" s="167"/>
      <c r="U141" s="167"/>
      <c r="V141" s="167"/>
      <c r="W141" s="167"/>
    </row>
    <row r="142" spans="1:23" ht="18" x14ac:dyDescent="0.2">
      <c r="A142" s="167"/>
      <c r="C142" s="171" t="s">
        <v>609</v>
      </c>
      <c r="D142" s="167"/>
      <c r="E142" s="167"/>
      <c r="F142" s="167"/>
      <c r="G142" s="167"/>
      <c r="K142" s="167"/>
      <c r="L142" s="167"/>
      <c r="M142" s="167"/>
      <c r="N142" s="167"/>
      <c r="O142" s="167"/>
      <c r="P142" s="167"/>
      <c r="Q142" s="167"/>
      <c r="R142" s="167"/>
      <c r="S142" s="167"/>
      <c r="T142" s="167"/>
      <c r="U142" s="167"/>
      <c r="V142" s="167"/>
      <c r="W142" s="167"/>
    </row>
    <row r="143" spans="1:23" ht="18" x14ac:dyDescent="0.2">
      <c r="A143" s="167"/>
      <c r="B143" s="167"/>
      <c r="C143" s="167"/>
      <c r="D143" s="167"/>
      <c r="E143" s="167"/>
      <c r="F143" s="167"/>
      <c r="G143" s="167"/>
      <c r="K143" s="167"/>
      <c r="L143" s="167"/>
      <c r="M143" s="167"/>
      <c r="N143" s="167"/>
      <c r="O143" s="167"/>
      <c r="P143" s="167"/>
      <c r="Q143" s="167"/>
      <c r="R143" s="167"/>
      <c r="S143" s="167"/>
      <c r="T143" s="167"/>
      <c r="U143" s="167"/>
      <c r="V143" s="167"/>
      <c r="W143" s="167"/>
    </row>
    <row r="144" spans="1:23" ht="18" x14ac:dyDescent="0.2">
      <c r="A144" s="167"/>
      <c r="B144" s="167"/>
      <c r="C144" s="398" t="s">
        <v>608</v>
      </c>
      <c r="D144" s="167"/>
      <c r="E144" s="167"/>
      <c r="F144" s="167"/>
      <c r="G144" s="167">
        <f ca="1">E111-F112</f>
        <v>31877.557066154048</v>
      </c>
      <c r="K144" s="167"/>
      <c r="L144" s="167"/>
      <c r="M144" s="167"/>
      <c r="N144" s="167"/>
      <c r="O144" s="167"/>
      <c r="P144" s="167"/>
      <c r="Q144" s="167"/>
      <c r="R144" s="167"/>
      <c r="S144" s="167"/>
      <c r="T144" s="167"/>
      <c r="U144" s="167"/>
      <c r="V144" s="167"/>
      <c r="W144" s="167"/>
    </row>
    <row r="145" spans="1:23" ht="18" x14ac:dyDescent="0.2">
      <c r="A145" s="167"/>
      <c r="B145" s="167"/>
      <c r="C145" s="398"/>
      <c r="D145" s="167"/>
      <c r="E145" s="167"/>
      <c r="F145" s="167"/>
      <c r="G145" s="167"/>
      <c r="K145" s="167"/>
      <c r="L145" s="167"/>
      <c r="M145" s="167"/>
      <c r="N145" s="167"/>
      <c r="O145" s="167"/>
      <c r="P145" s="167"/>
      <c r="Q145" s="167"/>
      <c r="R145" s="167"/>
      <c r="S145" s="167"/>
      <c r="T145" s="167"/>
      <c r="U145" s="167"/>
      <c r="V145" s="167"/>
      <c r="W145" s="167"/>
    </row>
    <row r="146" spans="1:23" ht="18" x14ac:dyDescent="0.2">
      <c r="A146" s="167"/>
      <c r="B146" s="167"/>
      <c r="C146" s="398" t="s">
        <v>157</v>
      </c>
      <c r="D146" s="167"/>
      <c r="E146" s="167"/>
      <c r="F146" s="167"/>
      <c r="G146" s="167">
        <f ca="1">F112</f>
        <v>12285.442435775452</v>
      </c>
      <c r="K146" s="167"/>
      <c r="L146" s="167"/>
      <c r="M146" s="167"/>
      <c r="N146" s="167"/>
      <c r="O146" s="167"/>
      <c r="P146" s="167"/>
      <c r="Q146" s="167"/>
      <c r="R146" s="167"/>
      <c r="S146" s="167"/>
      <c r="T146" s="167"/>
      <c r="U146" s="167"/>
      <c r="V146" s="167"/>
      <c r="W146" s="167"/>
    </row>
    <row r="147" spans="1:23" ht="18" x14ac:dyDescent="0.2">
      <c r="A147" s="167"/>
      <c r="B147" s="167"/>
      <c r="C147" s="398"/>
      <c r="D147" s="167"/>
      <c r="E147" s="167"/>
      <c r="F147" s="167"/>
      <c r="G147" s="167"/>
      <c r="H147" s="173"/>
      <c r="K147" s="167"/>
      <c r="L147" s="167"/>
    </row>
    <row r="148" spans="1:23" ht="18" x14ac:dyDescent="0.2">
      <c r="B148" s="167"/>
      <c r="C148" s="398" t="s">
        <v>588</v>
      </c>
      <c r="D148" s="167"/>
      <c r="E148" s="167"/>
      <c r="F148" s="167"/>
      <c r="G148" s="167">
        <f ca="1">E137</f>
        <v>35437.094086226032</v>
      </c>
      <c r="K148" s="167"/>
      <c r="L148" s="167"/>
      <c r="M148" s="167"/>
      <c r="N148" s="167"/>
      <c r="O148" s="167"/>
      <c r="P148" s="167"/>
      <c r="Q148" s="167"/>
      <c r="R148" s="167"/>
      <c r="S148" s="167"/>
      <c r="T148" s="167"/>
      <c r="U148" s="167"/>
      <c r="V148" s="167"/>
      <c r="W148" s="167"/>
    </row>
    <row r="149" spans="1:23" ht="18" x14ac:dyDescent="0.2">
      <c r="A149" s="167"/>
      <c r="B149" s="167"/>
      <c r="C149" s="399"/>
      <c r="G149" s="397"/>
      <c r="H149" s="167"/>
      <c r="K149" s="167"/>
      <c r="L149" s="167"/>
      <c r="M149" s="167"/>
      <c r="N149" s="167"/>
      <c r="O149" s="167"/>
      <c r="P149" s="167"/>
      <c r="Q149" s="167"/>
      <c r="R149" s="167"/>
      <c r="S149" s="167"/>
      <c r="T149" s="167"/>
      <c r="U149" s="167"/>
      <c r="V149" s="167"/>
      <c r="W149" s="167"/>
    </row>
    <row r="150" spans="1:23" ht="18" x14ac:dyDescent="0.2">
      <c r="A150" s="167"/>
      <c r="B150" s="167"/>
      <c r="C150" s="398"/>
      <c r="D150" s="167"/>
      <c r="E150" s="167"/>
      <c r="F150" s="167"/>
      <c r="G150" s="167"/>
      <c r="H150" s="167"/>
      <c r="K150" s="167"/>
      <c r="L150" s="167"/>
      <c r="M150" s="167"/>
      <c r="N150" s="167"/>
      <c r="O150" s="167"/>
      <c r="P150" s="167"/>
      <c r="Q150" s="167"/>
      <c r="R150" s="167"/>
      <c r="S150" s="167"/>
      <c r="T150" s="167"/>
      <c r="U150" s="167"/>
      <c r="V150" s="167"/>
      <c r="W150" s="167"/>
    </row>
    <row r="151" spans="1:23" ht="18" x14ac:dyDescent="0.2">
      <c r="A151" s="167"/>
      <c r="B151" s="167"/>
      <c r="C151" s="400" t="s">
        <v>44</v>
      </c>
      <c r="D151" s="167"/>
      <c r="E151" s="167"/>
      <c r="F151" s="167"/>
      <c r="G151" s="171">
        <f ca="1">SUM(G144:G148)</f>
        <v>79600.093588155534</v>
      </c>
      <c r="H151" s="167"/>
      <c r="K151" s="167"/>
      <c r="L151" s="167"/>
      <c r="M151" s="167"/>
      <c r="N151" s="167"/>
      <c r="O151" s="167"/>
      <c r="P151" s="167"/>
      <c r="Q151" s="167"/>
      <c r="R151" s="167"/>
      <c r="S151" s="167"/>
      <c r="T151" s="167"/>
      <c r="U151" s="167"/>
      <c r="V151" s="167"/>
      <c r="W151" s="167"/>
    </row>
    <row r="152" spans="1:23" ht="18" x14ac:dyDescent="0.2">
      <c r="A152" s="167"/>
      <c r="B152" s="167"/>
      <c r="C152" s="167"/>
      <c r="D152" s="167"/>
      <c r="E152" s="167"/>
      <c r="F152" s="167"/>
      <c r="G152" s="167"/>
      <c r="H152" s="167"/>
      <c r="K152" s="167"/>
      <c r="L152" s="167"/>
      <c r="M152" s="167"/>
      <c r="N152" s="167"/>
      <c r="O152" s="167"/>
      <c r="P152" s="167"/>
      <c r="Q152" s="167"/>
      <c r="R152" s="167"/>
      <c r="S152" s="167"/>
      <c r="T152" s="167"/>
      <c r="U152" s="167"/>
      <c r="V152" s="167"/>
      <c r="W152" s="167"/>
    </row>
    <row r="153" spans="1:23" ht="18" x14ac:dyDescent="0.2">
      <c r="A153" s="167"/>
      <c r="B153" s="167"/>
      <c r="C153" s="167"/>
      <c r="D153" s="167"/>
      <c r="E153" s="167"/>
      <c r="F153" s="167"/>
      <c r="G153" s="167"/>
      <c r="H153" s="167"/>
      <c r="K153" s="167"/>
      <c r="L153" s="167"/>
      <c r="M153" s="167"/>
      <c r="N153" s="167"/>
      <c r="O153" s="167"/>
      <c r="P153" s="167"/>
      <c r="Q153" s="167"/>
      <c r="R153" s="167"/>
      <c r="S153" s="167"/>
      <c r="T153" s="167"/>
      <c r="U153" s="167"/>
      <c r="V153" s="167"/>
      <c r="W153" s="167"/>
    </row>
    <row r="154" spans="1:23" ht="18" x14ac:dyDescent="0.2">
      <c r="A154" s="167"/>
      <c r="C154" s="171" t="s">
        <v>610</v>
      </c>
      <c r="D154" s="167"/>
      <c r="E154" s="167"/>
      <c r="F154" s="167"/>
      <c r="G154" s="171">
        <f ca="1">E131</f>
        <v>151590.4733810391</v>
      </c>
      <c r="H154" s="167"/>
      <c r="K154" s="167"/>
      <c r="L154" s="167"/>
      <c r="M154" s="167"/>
      <c r="N154" s="167"/>
      <c r="O154" s="167"/>
      <c r="P154" s="167"/>
      <c r="Q154" s="167"/>
      <c r="R154" s="167"/>
      <c r="S154" s="167"/>
      <c r="T154" s="167"/>
      <c r="U154" s="167"/>
      <c r="V154" s="167"/>
      <c r="W154" s="167"/>
    </row>
    <row r="155" spans="1:23" ht="18" x14ac:dyDescent="0.2">
      <c r="A155" s="167"/>
      <c r="C155" s="167"/>
      <c r="D155" s="167"/>
      <c r="E155" s="167"/>
      <c r="F155" s="167"/>
      <c r="G155" s="167"/>
      <c r="H155" s="167"/>
      <c r="K155" s="167"/>
      <c r="L155" s="167"/>
      <c r="M155" s="167"/>
      <c r="N155" s="167"/>
      <c r="O155" s="167"/>
      <c r="P155" s="167"/>
      <c r="Q155" s="167"/>
      <c r="R155" s="167"/>
      <c r="S155" s="167"/>
      <c r="T155" s="167"/>
      <c r="U155" s="167"/>
      <c r="V155" s="167"/>
      <c r="W155" s="167"/>
    </row>
    <row r="156" spans="1:23" ht="18" x14ac:dyDescent="0.2">
      <c r="A156" s="167"/>
      <c r="C156" s="167"/>
      <c r="D156" s="167"/>
      <c r="E156" s="167"/>
      <c r="F156" s="167"/>
      <c r="G156" s="167"/>
      <c r="H156" s="167"/>
      <c r="K156" s="167"/>
      <c r="L156" s="167"/>
      <c r="M156" s="167"/>
      <c r="N156" s="167"/>
      <c r="O156" s="167"/>
      <c r="P156" s="167"/>
      <c r="Q156" s="167"/>
      <c r="R156" s="167"/>
      <c r="S156" s="167"/>
      <c r="T156" s="167"/>
      <c r="U156" s="167"/>
      <c r="V156" s="167"/>
      <c r="W156" s="167"/>
    </row>
    <row r="157" spans="1:23" ht="18" x14ac:dyDescent="0.2">
      <c r="A157" s="167"/>
      <c r="C157" s="171" t="s">
        <v>611</v>
      </c>
      <c r="D157" s="171"/>
      <c r="E157" s="167"/>
      <c r="F157" s="167"/>
      <c r="G157" s="388">
        <f ca="1">G151/(G154+G144+(G146*5.1/8))</f>
        <v>0.41610085513933892</v>
      </c>
      <c r="H157" s="167"/>
      <c r="K157" s="167"/>
      <c r="L157" s="167"/>
      <c r="M157" s="167"/>
      <c r="N157" s="167"/>
      <c r="O157" s="167"/>
      <c r="P157" s="167"/>
      <c r="Q157" s="167"/>
      <c r="R157" s="167"/>
      <c r="S157" s="167"/>
      <c r="T157" s="167"/>
      <c r="U157" s="167"/>
      <c r="V157" s="167"/>
      <c r="W157" s="167"/>
    </row>
    <row r="158" spans="1:23" ht="18" x14ac:dyDescent="0.2">
      <c r="A158" s="167"/>
      <c r="C158" s="205" t="s">
        <v>667</v>
      </c>
      <c r="H158" s="167"/>
      <c r="K158" s="167"/>
      <c r="L158" s="167"/>
      <c r="M158" s="167"/>
      <c r="N158" s="167"/>
      <c r="O158" s="167"/>
      <c r="P158" s="167"/>
      <c r="Q158" s="167"/>
      <c r="R158" s="167"/>
      <c r="S158" s="167"/>
      <c r="T158" s="167"/>
      <c r="U158" s="167"/>
      <c r="V158" s="167"/>
      <c r="W158" s="167"/>
    </row>
    <row r="159" spans="1:23" ht="18" x14ac:dyDescent="0.2">
      <c r="A159" s="167"/>
      <c r="H159" s="167"/>
      <c r="K159" s="167"/>
      <c r="L159" s="167"/>
      <c r="M159" s="167"/>
      <c r="N159" s="167"/>
      <c r="O159" s="167"/>
      <c r="P159" s="167"/>
      <c r="Q159" s="167"/>
      <c r="R159" s="167"/>
      <c r="S159" s="167"/>
      <c r="T159" s="167"/>
      <c r="U159" s="167"/>
      <c r="V159" s="167"/>
      <c r="W159" s="167"/>
    </row>
    <row r="160" spans="1:23" ht="18" x14ac:dyDescent="0.2">
      <c r="A160" s="167"/>
      <c r="H160" s="167"/>
      <c r="K160" s="167"/>
      <c r="L160" s="167"/>
      <c r="M160" s="167"/>
      <c r="N160" s="167"/>
      <c r="O160" s="167"/>
      <c r="P160" s="167"/>
      <c r="Q160" s="167"/>
      <c r="R160" s="167"/>
      <c r="S160" s="167"/>
      <c r="T160" s="167"/>
      <c r="U160" s="167"/>
      <c r="V160" s="167"/>
      <c r="W160" s="167"/>
    </row>
    <row r="161" spans="1:23" ht="18" x14ac:dyDescent="0.2">
      <c r="C161" s="173"/>
      <c r="D161" s="590" t="s">
        <v>612</v>
      </c>
      <c r="E161" s="590"/>
      <c r="F161" s="590"/>
      <c r="G161" s="590"/>
      <c r="H161" s="590"/>
      <c r="I161" s="590"/>
      <c r="J161" s="590"/>
      <c r="K161" s="175"/>
      <c r="L161" s="167"/>
      <c r="M161" s="167"/>
      <c r="N161" s="167"/>
      <c r="O161" s="167"/>
      <c r="P161" s="167"/>
      <c r="Q161" s="167"/>
      <c r="R161" s="167"/>
      <c r="S161" s="167"/>
      <c r="T161" s="167"/>
      <c r="U161" s="167"/>
      <c r="V161" s="167"/>
      <c r="W161" s="167"/>
    </row>
    <row r="162" spans="1:23" ht="18" x14ac:dyDescent="0.2">
      <c r="A162" s="167"/>
      <c r="H162" s="167"/>
      <c r="K162" s="167"/>
      <c r="L162" s="167"/>
      <c r="M162" s="167"/>
      <c r="N162" s="167"/>
      <c r="O162" s="167"/>
      <c r="P162" s="167"/>
      <c r="Q162" s="167"/>
      <c r="R162" s="167"/>
      <c r="S162" s="167"/>
      <c r="T162" s="167"/>
      <c r="U162" s="167"/>
      <c r="V162" s="167"/>
      <c r="W162" s="167"/>
    </row>
    <row r="163" spans="1:23" ht="18" x14ac:dyDescent="0.2">
      <c r="A163" s="167"/>
      <c r="B163" s="167"/>
      <c r="C163" s="167"/>
      <c r="D163" s="167"/>
      <c r="E163" s="167"/>
      <c r="F163" s="167"/>
      <c r="G163" s="167"/>
      <c r="H163" s="167"/>
      <c r="K163" s="167"/>
      <c r="L163" s="167"/>
      <c r="M163" s="167"/>
      <c r="N163" s="167"/>
      <c r="O163" s="167"/>
      <c r="P163" s="167"/>
      <c r="Q163" s="167"/>
      <c r="R163" s="167"/>
      <c r="S163" s="167"/>
      <c r="T163" s="167"/>
      <c r="U163" s="167"/>
      <c r="V163" s="167"/>
      <c r="W163" s="167"/>
    </row>
    <row r="164" spans="1:23" ht="18" x14ac:dyDescent="0.2">
      <c r="B164" s="167"/>
      <c r="C164" s="200" t="s">
        <v>9</v>
      </c>
      <c r="D164" s="171"/>
      <c r="E164" s="171"/>
      <c r="F164" s="167"/>
      <c r="G164" s="167"/>
      <c r="H164" s="167"/>
      <c r="I164" s="175"/>
      <c r="J164" s="175"/>
      <c r="K164" s="167"/>
      <c r="L164" s="167"/>
      <c r="M164" s="167"/>
      <c r="N164" s="167"/>
      <c r="O164" s="167"/>
      <c r="P164" s="167"/>
      <c r="Q164" s="167"/>
      <c r="R164" s="167"/>
      <c r="S164" s="167"/>
      <c r="T164" s="167"/>
      <c r="U164" s="167"/>
      <c r="V164" s="167"/>
      <c r="W164" s="167"/>
    </row>
    <row r="165" spans="1:23" ht="21" x14ac:dyDescent="0.2">
      <c r="B165" s="201"/>
      <c r="C165" s="167"/>
      <c r="D165" s="167"/>
      <c r="E165" s="167"/>
      <c r="F165" s="167"/>
      <c r="G165" s="167"/>
      <c r="H165" s="167"/>
      <c r="I165" s="167"/>
      <c r="J165" s="167"/>
      <c r="K165" s="167"/>
      <c r="L165" s="167"/>
      <c r="M165" s="167"/>
      <c r="N165" s="167"/>
      <c r="O165" s="167"/>
      <c r="P165" s="167"/>
      <c r="Q165" s="167"/>
      <c r="R165" s="167"/>
      <c r="S165" s="167"/>
      <c r="T165" s="167"/>
      <c r="U165" s="167"/>
      <c r="V165" s="167"/>
      <c r="W165" s="167"/>
    </row>
    <row r="166" spans="1:23" ht="21" x14ac:dyDescent="0.25">
      <c r="C166" s="403" t="s">
        <v>614</v>
      </c>
      <c r="D166" s="167" t="s">
        <v>613</v>
      </c>
      <c r="E166" s="167"/>
      <c r="F166" s="167"/>
      <c r="G166" s="167">
        <f ca="1">L96</f>
        <v>121590.4733810391</v>
      </c>
      <c r="H166" s="167"/>
      <c r="I166" s="167"/>
      <c r="J166" s="167"/>
      <c r="K166" s="320"/>
      <c r="L166" s="167"/>
      <c r="M166" s="167"/>
      <c r="N166" s="167"/>
      <c r="O166" s="167"/>
      <c r="P166" s="167"/>
      <c r="Q166" s="167"/>
      <c r="R166" s="167"/>
      <c r="S166" s="167"/>
      <c r="T166" s="167"/>
      <c r="U166" s="167"/>
      <c r="V166" s="167"/>
      <c r="W166" s="167"/>
    </row>
    <row r="167" spans="1:23" ht="21" x14ac:dyDescent="0.2">
      <c r="C167" s="404"/>
      <c r="D167" s="167"/>
      <c r="E167" s="167"/>
      <c r="F167" s="167"/>
      <c r="G167" s="167"/>
      <c r="H167" s="167"/>
      <c r="I167" s="167"/>
      <c r="J167" s="167"/>
      <c r="K167" s="167"/>
      <c r="L167" s="167"/>
      <c r="M167" s="167"/>
      <c r="N167" s="167"/>
      <c r="O167" s="167"/>
      <c r="P167" s="167"/>
      <c r="Q167" s="167"/>
      <c r="R167" s="167"/>
      <c r="S167" s="167"/>
      <c r="T167" s="167"/>
      <c r="U167" s="167"/>
      <c r="V167" s="167"/>
      <c r="W167" s="167"/>
    </row>
    <row r="168" spans="1:23" ht="21" x14ac:dyDescent="0.2">
      <c r="C168" s="403" t="s">
        <v>614</v>
      </c>
      <c r="D168" s="167" t="s">
        <v>7</v>
      </c>
      <c r="E168" s="167"/>
      <c r="F168" s="167"/>
      <c r="G168" s="167">
        <f>L91</f>
        <v>2500</v>
      </c>
      <c r="H168" s="167"/>
      <c r="I168" s="167"/>
      <c r="J168" s="167"/>
      <c r="K168" s="167"/>
      <c r="L168" s="167"/>
      <c r="M168" s="167"/>
      <c r="N168" s="167"/>
      <c r="O168" s="167"/>
      <c r="P168" s="167"/>
      <c r="Q168" s="167"/>
      <c r="R168" s="167"/>
      <c r="S168" s="167"/>
      <c r="T168" s="167"/>
      <c r="U168" s="167"/>
      <c r="V168" s="167"/>
      <c r="W168" s="167"/>
    </row>
    <row r="169" spans="1:23" ht="21" x14ac:dyDescent="0.2">
      <c r="C169" s="404"/>
      <c r="D169" s="167"/>
      <c r="E169" s="167"/>
      <c r="F169" s="167"/>
      <c r="G169" s="167"/>
      <c r="H169" s="167"/>
      <c r="I169" s="167"/>
      <c r="J169" s="167"/>
      <c r="K169" s="167"/>
      <c r="L169" s="167"/>
      <c r="M169" s="167"/>
      <c r="N169" s="167"/>
      <c r="O169" s="167"/>
      <c r="P169" s="167"/>
      <c r="Q169" s="167"/>
      <c r="R169" s="167"/>
      <c r="S169" s="167"/>
      <c r="T169" s="167"/>
      <c r="U169" s="167"/>
      <c r="V169" s="167"/>
      <c r="W169" s="167"/>
    </row>
    <row r="170" spans="1:23" ht="21" x14ac:dyDescent="0.2">
      <c r="C170" s="403" t="s">
        <v>615</v>
      </c>
      <c r="D170" s="167" t="s">
        <v>8</v>
      </c>
      <c r="E170" s="167"/>
      <c r="F170" s="167"/>
      <c r="G170" s="167">
        <f ca="1">L95-L91-L86</f>
        <v>-4453.472882968601</v>
      </c>
      <c r="H170" s="491" t="s">
        <v>751</v>
      </c>
      <c r="I170" s="167"/>
      <c r="J170" s="167"/>
      <c r="K170" s="167"/>
      <c r="L170" s="167"/>
      <c r="M170" s="167"/>
      <c r="N170" s="167"/>
      <c r="O170" s="167"/>
      <c r="P170" s="167"/>
      <c r="Q170" s="167"/>
      <c r="R170" s="167"/>
      <c r="S170" s="167"/>
      <c r="T170" s="167"/>
      <c r="U170" s="167"/>
      <c r="V170" s="167"/>
      <c r="W170" s="167"/>
    </row>
    <row r="171" spans="1:23" ht="21" x14ac:dyDescent="0.2">
      <c r="C171" s="404"/>
      <c r="D171" s="167"/>
      <c r="E171" s="167"/>
      <c r="F171" s="167"/>
      <c r="G171" s="402"/>
      <c r="H171" s="167"/>
      <c r="I171" s="167"/>
      <c r="J171" s="167"/>
      <c r="K171" s="167"/>
      <c r="L171" s="167"/>
      <c r="M171" s="167"/>
      <c r="N171" s="167"/>
      <c r="O171" s="167"/>
      <c r="P171" s="167"/>
      <c r="Q171" s="167"/>
      <c r="R171" s="167"/>
      <c r="S171" s="167"/>
      <c r="T171" s="167"/>
      <c r="U171" s="167"/>
      <c r="V171" s="167"/>
      <c r="W171" s="167"/>
    </row>
    <row r="172" spans="1:23" ht="34.5" customHeight="1" x14ac:dyDescent="0.2">
      <c r="C172" s="405" t="s">
        <v>616</v>
      </c>
      <c r="D172" s="171" t="s">
        <v>617</v>
      </c>
      <c r="E172" s="171"/>
      <c r="F172" s="167"/>
      <c r="G172" s="171">
        <f ca="1">SUM(G166:G170)</f>
        <v>119637.0004980705</v>
      </c>
      <c r="H172" s="167"/>
      <c r="I172" s="167"/>
      <c r="J172" s="167"/>
      <c r="K172" s="167"/>
      <c r="L172" s="167"/>
    </row>
    <row r="173" spans="1:23" ht="21" x14ac:dyDescent="0.2">
      <c r="A173" s="201"/>
      <c r="B173" s="167"/>
      <c r="C173" s="167"/>
      <c r="D173" s="167"/>
      <c r="E173" s="167"/>
      <c r="F173" s="167"/>
      <c r="G173" s="167"/>
      <c r="H173" s="167"/>
      <c r="I173" s="167"/>
      <c r="J173" s="167"/>
      <c r="K173" s="167"/>
      <c r="L173" s="167"/>
      <c r="M173" s="167"/>
      <c r="N173" s="167"/>
      <c r="O173" s="167"/>
      <c r="P173" s="167"/>
      <c r="Q173" s="167"/>
      <c r="R173" s="167"/>
      <c r="S173" s="167"/>
      <c r="T173" s="167"/>
      <c r="U173" s="167"/>
      <c r="V173" s="167"/>
      <c r="W173" s="167"/>
    </row>
    <row r="174" spans="1:23" ht="21" x14ac:dyDescent="0.2">
      <c r="A174" s="201"/>
      <c r="B174" s="167"/>
      <c r="C174" s="167"/>
      <c r="D174" s="167"/>
      <c r="E174" s="167"/>
      <c r="F174" s="167"/>
      <c r="G174" s="167"/>
      <c r="H174" s="167"/>
      <c r="I174" s="167"/>
      <c r="J174" s="167"/>
      <c r="K174" s="167"/>
      <c r="L174" s="167"/>
      <c r="M174" s="167"/>
      <c r="N174" s="167"/>
      <c r="O174" s="167"/>
      <c r="P174" s="167"/>
      <c r="Q174" s="167"/>
      <c r="R174" s="167"/>
      <c r="S174" s="167"/>
      <c r="T174" s="167"/>
      <c r="U174" s="167"/>
      <c r="V174" s="167"/>
      <c r="W174" s="167"/>
    </row>
    <row r="175" spans="1:23" ht="12.75" customHeight="1" x14ac:dyDescent="0.2">
      <c r="A175" s="201"/>
      <c r="B175" s="167"/>
      <c r="C175" s="167"/>
      <c r="D175" s="167"/>
      <c r="E175" s="167"/>
      <c r="F175" s="167"/>
      <c r="G175" s="167"/>
      <c r="H175" s="167"/>
      <c r="I175" s="167"/>
      <c r="J175" s="167"/>
      <c r="K175" s="167"/>
      <c r="L175" s="167"/>
      <c r="M175" s="167"/>
      <c r="N175" s="167"/>
      <c r="O175" s="167"/>
      <c r="P175" s="167"/>
      <c r="Q175" s="167"/>
      <c r="R175" s="167"/>
      <c r="S175" s="167"/>
      <c r="T175" s="167"/>
      <c r="U175" s="167"/>
      <c r="V175" s="167"/>
      <c r="W175" s="167"/>
    </row>
    <row r="176" spans="1:23" ht="15" customHeight="1" x14ac:dyDescent="0.2">
      <c r="C176" s="200" t="s">
        <v>10</v>
      </c>
      <c r="E176" s="167"/>
      <c r="F176" s="167"/>
      <c r="G176" s="167"/>
      <c r="H176" s="167"/>
      <c r="I176" s="167"/>
      <c r="J176" s="167"/>
      <c r="K176" s="167"/>
      <c r="L176" s="167"/>
      <c r="M176" s="167"/>
      <c r="N176" s="167"/>
      <c r="O176" s="167"/>
      <c r="P176" s="167"/>
      <c r="Q176" s="167"/>
      <c r="R176" s="167"/>
      <c r="S176" s="167"/>
      <c r="T176" s="167"/>
      <c r="U176" s="167"/>
      <c r="V176" s="167"/>
      <c r="W176" s="167"/>
    </row>
    <row r="177" spans="1:23" ht="21" x14ac:dyDescent="0.2">
      <c r="C177" s="201"/>
      <c r="D177" s="167"/>
      <c r="E177" s="167"/>
      <c r="F177" s="167"/>
      <c r="G177" s="167"/>
      <c r="H177" s="167"/>
      <c r="I177" s="167"/>
      <c r="J177" s="167"/>
      <c r="K177" s="167"/>
      <c r="L177" s="167"/>
      <c r="M177" s="167"/>
      <c r="N177" s="167"/>
      <c r="O177" s="167"/>
      <c r="P177" s="167"/>
      <c r="Q177" s="167"/>
      <c r="R177" s="167"/>
      <c r="S177" s="167"/>
      <c r="T177" s="167"/>
      <c r="U177" s="167"/>
      <c r="V177" s="167"/>
      <c r="W177" s="167"/>
    </row>
    <row r="178" spans="1:23" ht="18" x14ac:dyDescent="0.2">
      <c r="C178" s="167" t="s">
        <v>618</v>
      </c>
      <c r="G178" s="171">
        <f ca="1">SUM(G172:G176)</f>
        <v>119637.0004980705</v>
      </c>
      <c r="H178" s="167"/>
      <c r="I178" s="167"/>
      <c r="J178" s="167"/>
      <c r="K178" s="167"/>
      <c r="L178" s="167"/>
      <c r="M178" s="167"/>
      <c r="N178" s="167"/>
      <c r="O178" s="167"/>
      <c r="P178" s="167"/>
      <c r="Q178" s="167"/>
      <c r="R178" s="167"/>
      <c r="S178" s="167"/>
      <c r="T178" s="167"/>
      <c r="U178" s="167"/>
      <c r="V178" s="167"/>
      <c r="W178" s="167"/>
    </row>
    <row r="179" spans="1:23" ht="12.75" hidden="1" customHeight="1" x14ac:dyDescent="0.2">
      <c r="C179" s="201"/>
      <c r="H179" s="167"/>
      <c r="I179" s="167"/>
      <c r="J179" s="167"/>
      <c r="K179" s="167"/>
      <c r="L179" s="167"/>
      <c r="M179" s="167"/>
      <c r="N179" s="167"/>
      <c r="O179" s="167"/>
      <c r="P179" s="167"/>
      <c r="Q179" s="167"/>
      <c r="R179" s="167"/>
      <c r="S179" s="167"/>
      <c r="T179" s="167"/>
      <c r="U179" s="167"/>
      <c r="V179" s="167"/>
      <c r="W179" s="167"/>
    </row>
    <row r="180" spans="1:23" ht="21" x14ac:dyDescent="0.2">
      <c r="C180" s="201"/>
      <c r="H180" s="167"/>
      <c r="I180" s="167"/>
      <c r="J180" s="167"/>
      <c r="K180" s="167"/>
      <c r="L180" s="167"/>
      <c r="M180" s="167"/>
      <c r="N180" s="167"/>
      <c r="O180" s="167"/>
      <c r="P180" s="167"/>
      <c r="Q180" s="167"/>
      <c r="R180" s="167"/>
      <c r="S180" s="167"/>
      <c r="T180" s="167"/>
      <c r="U180" s="167"/>
      <c r="V180" s="167"/>
      <c r="W180" s="167"/>
    </row>
    <row r="181" spans="1:23" ht="21" x14ac:dyDescent="0.2">
      <c r="C181" s="403" t="s">
        <v>614</v>
      </c>
      <c r="D181" s="167" t="s">
        <v>11</v>
      </c>
      <c r="G181" s="387">
        <v>0</v>
      </c>
      <c r="H181" s="167"/>
      <c r="I181" s="167"/>
      <c r="J181" s="167"/>
      <c r="K181" s="167"/>
      <c r="L181" s="167"/>
      <c r="M181" s="167"/>
      <c r="N181" s="167"/>
      <c r="O181" s="167"/>
      <c r="P181" s="167"/>
      <c r="Q181" s="167"/>
      <c r="R181" s="167"/>
      <c r="S181" s="167"/>
      <c r="T181" s="167"/>
      <c r="U181" s="167"/>
      <c r="V181" s="167"/>
      <c r="W181" s="167"/>
    </row>
    <row r="182" spans="1:23" ht="21" x14ac:dyDescent="0.2">
      <c r="C182" s="404"/>
      <c r="H182" s="167"/>
      <c r="I182" s="167"/>
      <c r="J182" s="167"/>
      <c r="K182" s="167"/>
      <c r="L182" s="167"/>
      <c r="M182" s="167"/>
      <c r="N182" s="167"/>
      <c r="O182" s="167"/>
      <c r="P182" s="167"/>
      <c r="Q182" s="167"/>
      <c r="R182" s="167"/>
      <c r="S182" s="167"/>
      <c r="T182" s="167"/>
      <c r="U182" s="167"/>
      <c r="V182" s="167"/>
      <c r="W182" s="167"/>
    </row>
    <row r="183" spans="1:23" ht="21" x14ac:dyDescent="0.2">
      <c r="C183" s="403" t="s">
        <v>619</v>
      </c>
      <c r="D183" s="167" t="s">
        <v>12</v>
      </c>
      <c r="E183" s="167"/>
      <c r="F183" s="167"/>
      <c r="G183" s="387">
        <v>0</v>
      </c>
      <c r="H183" s="167"/>
      <c r="I183" s="167"/>
      <c r="J183" s="167"/>
      <c r="K183" s="167"/>
      <c r="L183" s="167"/>
      <c r="M183" s="167"/>
      <c r="N183" s="167"/>
      <c r="O183" s="167"/>
      <c r="P183" s="167"/>
      <c r="Q183" s="167"/>
      <c r="R183" s="167"/>
      <c r="S183" s="167"/>
      <c r="T183" s="167"/>
      <c r="U183" s="167"/>
      <c r="V183" s="167"/>
      <c r="W183" s="167"/>
    </row>
    <row r="184" spans="1:23" ht="21" x14ac:dyDescent="0.2">
      <c r="C184" s="404"/>
      <c r="D184" s="167"/>
      <c r="E184" s="167"/>
      <c r="F184" s="167"/>
      <c r="G184" s="167"/>
      <c r="H184" s="167"/>
      <c r="I184" s="167"/>
      <c r="J184" s="167"/>
      <c r="K184" s="167"/>
      <c r="L184" s="167"/>
      <c r="M184" s="167"/>
      <c r="N184" s="167"/>
      <c r="O184" s="167"/>
      <c r="P184" s="167"/>
      <c r="Q184" s="167"/>
      <c r="R184" s="167"/>
      <c r="S184" s="167"/>
      <c r="T184" s="167"/>
      <c r="U184" s="167"/>
      <c r="V184" s="167"/>
      <c r="W184" s="167"/>
    </row>
    <row r="185" spans="1:23" ht="21" x14ac:dyDescent="0.2">
      <c r="C185" s="403" t="s">
        <v>619</v>
      </c>
      <c r="D185" s="167" t="s">
        <v>13</v>
      </c>
      <c r="E185" s="167"/>
      <c r="F185" s="167"/>
      <c r="G185" s="387">
        <v>10000</v>
      </c>
      <c r="H185" s="167"/>
      <c r="I185" s="167"/>
      <c r="J185" s="321"/>
      <c r="K185" s="167"/>
      <c r="L185" s="167"/>
      <c r="M185" s="167"/>
      <c r="N185" s="167"/>
      <c r="O185" s="167"/>
      <c r="P185" s="167"/>
      <c r="Q185" s="167"/>
      <c r="R185" s="167"/>
      <c r="S185" s="167"/>
      <c r="T185" s="167"/>
      <c r="U185" s="167"/>
      <c r="V185" s="167"/>
      <c r="W185" s="167"/>
    </row>
    <row r="186" spans="1:23" ht="21" x14ac:dyDescent="0.2">
      <c r="C186" s="404"/>
      <c r="D186" s="167"/>
      <c r="E186" s="167"/>
      <c r="F186" s="167"/>
      <c r="G186" s="167"/>
      <c r="H186" s="167"/>
      <c r="I186" s="167"/>
      <c r="J186" s="167"/>
      <c r="K186" s="167"/>
      <c r="L186" s="167"/>
      <c r="M186" s="167"/>
      <c r="N186" s="167"/>
      <c r="O186" s="167"/>
      <c r="P186" s="167"/>
      <c r="Q186" s="167"/>
      <c r="R186" s="167"/>
      <c r="S186" s="167"/>
      <c r="T186" s="167"/>
      <c r="U186" s="167"/>
      <c r="V186" s="167"/>
      <c r="W186" s="167"/>
    </row>
    <row r="187" spans="1:23" ht="21" x14ac:dyDescent="0.2">
      <c r="C187" s="403" t="s">
        <v>619</v>
      </c>
      <c r="D187" s="167" t="s">
        <v>620</v>
      </c>
      <c r="E187" s="167"/>
      <c r="F187" s="167"/>
      <c r="G187" s="387">
        <v>110000</v>
      </c>
      <c r="H187" s="167"/>
      <c r="I187" s="167"/>
      <c r="J187" s="167"/>
      <c r="K187" s="167"/>
      <c r="L187" s="167"/>
      <c r="M187" s="167"/>
      <c r="N187" s="167"/>
      <c r="O187" s="167"/>
      <c r="P187" s="167"/>
      <c r="Q187" s="167"/>
      <c r="R187" s="167"/>
      <c r="S187" s="167"/>
      <c r="T187" s="167"/>
      <c r="U187" s="167"/>
      <c r="V187" s="167"/>
      <c r="W187" s="167"/>
    </row>
    <row r="188" spans="1:23" ht="21" x14ac:dyDescent="0.2">
      <c r="C188" s="404"/>
      <c r="D188" s="167"/>
      <c r="E188" s="167"/>
      <c r="F188" s="167"/>
      <c r="G188" s="203" t="s">
        <v>676</v>
      </c>
      <c r="H188" s="167"/>
      <c r="I188" s="167"/>
      <c r="J188" s="167"/>
      <c r="K188" s="175"/>
      <c r="L188" s="175"/>
      <c r="M188" s="167"/>
      <c r="N188" s="167"/>
      <c r="O188" s="167"/>
      <c r="P188" s="167"/>
      <c r="Q188" s="167"/>
      <c r="R188" s="167"/>
      <c r="S188" s="167"/>
      <c r="T188" s="167"/>
      <c r="U188" s="167"/>
      <c r="V188" s="167"/>
      <c r="W188" s="167"/>
    </row>
    <row r="189" spans="1:23" ht="21" x14ac:dyDescent="0.2">
      <c r="C189" s="405" t="s">
        <v>616</v>
      </c>
      <c r="D189" s="518" t="str">
        <f ca="1">+IF(G189&gt;0,"Excédent de trésorerie dégagé dans l'année","Insuffisance de trésorerie dégagée dans l'année")</f>
        <v>Insuffisance de trésorerie dégagée dans l'année</v>
      </c>
      <c r="E189" s="518"/>
      <c r="F189" s="518"/>
      <c r="G189" s="171">
        <f ca="1">G178+G181-G183-G185-G187</f>
        <v>-362.999501929502</v>
      </c>
      <c r="H189" s="167"/>
      <c r="I189" s="167"/>
      <c r="J189" s="167"/>
      <c r="K189" s="167"/>
      <c r="L189" s="167"/>
      <c r="M189" s="167"/>
      <c r="N189" s="167"/>
      <c r="O189" s="167"/>
      <c r="P189" s="167"/>
      <c r="Q189" s="167"/>
      <c r="R189" s="167"/>
      <c r="S189" s="167"/>
      <c r="T189" s="167"/>
      <c r="U189" s="167"/>
      <c r="V189" s="167"/>
      <c r="W189" s="167"/>
    </row>
    <row r="190" spans="1:23" ht="21" x14ac:dyDescent="0.2">
      <c r="A190" s="204"/>
      <c r="B190" s="171"/>
      <c r="C190" s="167"/>
      <c r="D190" s="167"/>
      <c r="E190" s="167"/>
      <c r="F190" s="167"/>
      <c r="G190" s="171"/>
      <c r="H190" s="167"/>
      <c r="I190" s="167"/>
      <c r="J190" s="167"/>
      <c r="K190" s="167"/>
      <c r="L190" s="167"/>
      <c r="M190" s="167"/>
      <c r="N190" s="167"/>
      <c r="O190" s="167"/>
      <c r="P190" s="167"/>
      <c r="Q190" s="167"/>
      <c r="R190" s="167"/>
      <c r="S190" s="167"/>
      <c r="T190" s="167"/>
      <c r="U190" s="167"/>
      <c r="V190" s="167"/>
      <c r="W190" s="167"/>
    </row>
    <row r="191" spans="1:23" ht="21" x14ac:dyDescent="0.2">
      <c r="A191" s="204"/>
      <c r="B191" s="171"/>
      <c r="C191" s="167"/>
      <c r="D191" s="167"/>
      <c r="E191" s="167"/>
      <c r="F191" s="167"/>
      <c r="G191" s="171"/>
      <c r="H191" s="167"/>
      <c r="I191" s="167"/>
      <c r="J191" s="167"/>
      <c r="K191" s="167"/>
      <c r="L191" s="167"/>
      <c r="M191" s="167"/>
      <c r="N191" s="167"/>
      <c r="O191" s="167"/>
      <c r="P191" s="167"/>
      <c r="Q191" s="167"/>
      <c r="R191" s="167"/>
      <c r="S191" s="167"/>
      <c r="T191" s="167"/>
      <c r="U191" s="167"/>
      <c r="V191" s="167"/>
      <c r="W191" s="167"/>
    </row>
    <row r="192" spans="1:23" ht="21" x14ac:dyDescent="0.2">
      <c r="A192" s="204"/>
      <c r="B192" s="171"/>
      <c r="C192" s="167"/>
      <c r="D192" s="167"/>
      <c r="E192" s="167"/>
      <c r="F192" s="167"/>
      <c r="G192" s="171"/>
      <c r="H192" s="167"/>
      <c r="I192" s="167"/>
      <c r="J192" s="167"/>
      <c r="K192" s="167"/>
      <c r="L192" s="167"/>
      <c r="M192" s="167"/>
      <c r="N192" s="167"/>
      <c r="O192" s="167"/>
      <c r="P192" s="167"/>
      <c r="Q192" s="167"/>
      <c r="R192" s="167"/>
      <c r="S192" s="167"/>
      <c r="T192" s="167"/>
      <c r="U192" s="167"/>
      <c r="V192" s="167"/>
      <c r="W192" s="167"/>
    </row>
    <row r="193" spans="1:23" ht="18" x14ac:dyDescent="0.2">
      <c r="A193" s="167"/>
      <c r="H193" s="167"/>
      <c r="I193" s="167"/>
      <c r="J193" s="167"/>
      <c r="K193" s="167"/>
      <c r="L193" s="167"/>
      <c r="M193" s="167"/>
      <c r="N193" s="167"/>
      <c r="O193" s="167"/>
      <c r="P193" s="167"/>
      <c r="Q193" s="167"/>
      <c r="R193" s="167"/>
      <c r="S193" s="167"/>
      <c r="T193" s="167"/>
      <c r="U193" s="167"/>
      <c r="V193" s="167"/>
      <c r="W193" s="167"/>
    </row>
    <row r="194" spans="1:23" ht="21" x14ac:dyDescent="0.2">
      <c r="A194" s="606" t="s">
        <v>713</v>
      </c>
      <c r="B194" s="606"/>
      <c r="C194" s="606"/>
      <c r="D194" s="606"/>
      <c r="E194" s="606"/>
      <c r="F194" s="606"/>
      <c r="G194" s="606"/>
      <c r="H194" s="606"/>
      <c r="I194" s="606"/>
      <c r="J194" s="606"/>
      <c r="K194" s="606"/>
      <c r="L194" s="606"/>
      <c r="M194" s="606"/>
      <c r="N194" s="167"/>
      <c r="O194" s="167"/>
      <c r="P194" s="167"/>
      <c r="Q194" s="167"/>
      <c r="R194" s="167"/>
      <c r="S194" s="167"/>
      <c r="T194" s="167"/>
      <c r="U194" s="167"/>
      <c r="V194" s="167"/>
      <c r="W194" s="167"/>
    </row>
    <row r="195" spans="1:23" ht="18" hidden="1" x14ac:dyDescent="0.2">
      <c r="A195" s="167"/>
      <c r="H195" s="167"/>
      <c r="I195" s="167"/>
      <c r="J195" s="167"/>
      <c r="K195" s="167"/>
      <c r="L195" s="167"/>
      <c r="M195" s="167"/>
      <c r="N195" s="167"/>
      <c r="O195" s="167"/>
      <c r="P195" s="167"/>
      <c r="Q195" s="167"/>
      <c r="R195" s="167"/>
      <c r="S195" s="167"/>
      <c r="T195" s="167"/>
      <c r="U195" s="167"/>
      <c r="V195" s="167"/>
      <c r="W195" s="167"/>
    </row>
    <row r="196" spans="1:23" ht="18" hidden="1" x14ac:dyDescent="0.2">
      <c r="A196" s="167"/>
      <c r="B196" s="171"/>
      <c r="C196" s="171"/>
      <c r="D196" s="171"/>
      <c r="E196" s="171"/>
      <c r="F196" s="171"/>
      <c r="G196" s="171"/>
      <c r="H196" s="167"/>
      <c r="I196" s="167"/>
      <c r="J196" s="167"/>
      <c r="K196" s="167"/>
      <c r="L196" s="167"/>
      <c r="M196" s="167"/>
      <c r="N196" s="167"/>
      <c r="O196" s="167"/>
      <c r="P196" s="167"/>
      <c r="Q196" s="167"/>
      <c r="R196" s="167"/>
      <c r="S196" s="167"/>
      <c r="T196" s="167"/>
      <c r="U196" s="167"/>
      <c r="V196" s="167"/>
      <c r="W196" s="167"/>
    </row>
    <row r="197" spans="1:23" ht="18" hidden="1" x14ac:dyDescent="0.2">
      <c r="A197" s="167"/>
      <c r="B197" s="171"/>
      <c r="C197" s="171"/>
      <c r="D197" s="171"/>
      <c r="E197" s="171"/>
      <c r="F197" s="171"/>
      <c r="G197" s="171"/>
      <c r="H197" s="167"/>
      <c r="I197" s="167"/>
      <c r="J197" s="167"/>
      <c r="K197" s="167"/>
      <c r="L197" s="167"/>
      <c r="M197" s="167"/>
      <c r="N197" s="167"/>
      <c r="O197" s="167"/>
      <c r="P197" s="167"/>
      <c r="Q197" s="167"/>
      <c r="R197" s="167"/>
      <c r="S197" s="167"/>
      <c r="T197" s="167"/>
      <c r="U197" s="167"/>
      <c r="V197" s="167"/>
      <c r="W197" s="167"/>
    </row>
    <row r="198" spans="1:23" ht="18" hidden="1" x14ac:dyDescent="0.2">
      <c r="A198" s="167"/>
      <c r="B198" s="171"/>
      <c r="C198" s="171"/>
      <c r="D198" s="171"/>
      <c r="E198" s="171"/>
      <c r="F198" s="171"/>
      <c r="G198" s="171"/>
      <c r="H198" s="167"/>
      <c r="I198" s="167"/>
      <c r="J198" s="167"/>
      <c r="K198" s="167"/>
      <c r="L198" s="167"/>
      <c r="M198" s="167"/>
      <c r="N198" s="167"/>
      <c r="O198" s="167"/>
      <c r="P198" s="167"/>
      <c r="Q198" s="167"/>
      <c r="R198" s="167"/>
      <c r="S198" s="167"/>
      <c r="T198" s="167"/>
      <c r="U198" s="167"/>
      <c r="V198" s="167"/>
      <c r="W198" s="167"/>
    </row>
    <row r="199" spans="1:23" ht="18" hidden="1" x14ac:dyDescent="0.2">
      <c r="A199" s="167"/>
      <c r="B199" s="171"/>
      <c r="C199" s="171"/>
      <c r="D199" s="171"/>
      <c r="E199" s="171"/>
      <c r="F199" s="171"/>
      <c r="G199" s="171"/>
      <c r="I199" s="167"/>
      <c r="J199" s="167"/>
      <c r="K199" s="167"/>
      <c r="L199" s="167"/>
      <c r="M199" s="167"/>
      <c r="N199" s="167"/>
      <c r="O199" s="167"/>
      <c r="P199" s="167"/>
      <c r="Q199" s="167"/>
      <c r="R199" s="167"/>
      <c r="S199" s="167"/>
      <c r="T199" s="167"/>
      <c r="U199" s="167"/>
      <c r="V199" s="167"/>
      <c r="W199" s="167"/>
    </row>
    <row r="200" spans="1:23" ht="18" hidden="1" x14ac:dyDescent="0.2">
      <c r="A200" s="167"/>
      <c r="B200" s="171"/>
      <c r="C200" s="171"/>
      <c r="D200" s="171"/>
      <c r="E200" s="171"/>
      <c r="F200" s="171"/>
      <c r="G200" s="171"/>
      <c r="I200" s="167"/>
      <c r="J200" s="167"/>
      <c r="K200" s="167"/>
      <c r="L200" s="167"/>
      <c r="M200" s="167"/>
      <c r="N200" s="167"/>
      <c r="O200" s="167"/>
      <c r="P200" s="167"/>
      <c r="Q200" s="167"/>
      <c r="R200" s="167"/>
      <c r="S200" s="167"/>
      <c r="T200" s="167"/>
      <c r="U200" s="167"/>
      <c r="V200" s="167"/>
      <c r="W200" s="167"/>
    </row>
    <row r="201" spans="1:23" ht="18" hidden="1" x14ac:dyDescent="0.2">
      <c r="A201" s="167"/>
      <c r="B201" s="171"/>
      <c r="C201" s="171"/>
      <c r="D201" s="171"/>
      <c r="E201" s="171"/>
      <c r="F201" s="171"/>
      <c r="G201" s="171"/>
      <c r="I201" s="167"/>
      <c r="J201" s="167"/>
      <c r="K201" s="167"/>
      <c r="L201" s="167"/>
      <c r="M201" s="167"/>
      <c r="N201" s="167"/>
      <c r="O201" s="167"/>
      <c r="P201" s="167"/>
      <c r="Q201" s="167"/>
      <c r="R201" s="167"/>
      <c r="S201" s="167"/>
      <c r="T201" s="167"/>
      <c r="U201" s="167"/>
      <c r="V201" s="167"/>
      <c r="W201" s="167"/>
    </row>
    <row r="202" spans="1:23" ht="18" hidden="1" x14ac:dyDescent="0.2">
      <c r="A202" s="167"/>
      <c r="B202" s="171"/>
      <c r="C202" s="171"/>
      <c r="D202" s="171"/>
      <c r="E202" s="171"/>
      <c r="F202" s="171"/>
      <c r="G202" s="171"/>
      <c r="I202" s="167"/>
      <c r="J202" s="167"/>
      <c r="K202" s="167"/>
      <c r="L202" s="167"/>
      <c r="M202" s="167"/>
      <c r="N202" s="167"/>
      <c r="O202" s="167"/>
      <c r="P202" s="167"/>
      <c r="Q202" s="167"/>
      <c r="R202" s="167"/>
      <c r="S202" s="167"/>
      <c r="T202" s="167"/>
      <c r="U202" s="167"/>
      <c r="V202" s="167"/>
      <c r="W202" s="167"/>
    </row>
    <row r="203" spans="1:23" ht="18" hidden="1" x14ac:dyDescent="0.2">
      <c r="A203" s="167"/>
      <c r="I203" s="167"/>
      <c r="J203" s="167"/>
      <c r="K203" s="167"/>
      <c r="L203" s="167"/>
      <c r="M203" s="167"/>
      <c r="N203" s="167"/>
      <c r="O203" s="167"/>
      <c r="P203" s="167"/>
      <c r="Q203" s="167"/>
      <c r="R203" s="167"/>
      <c r="S203" s="167"/>
      <c r="T203" s="167"/>
      <c r="U203" s="167"/>
      <c r="V203" s="167"/>
      <c r="W203" s="167"/>
    </row>
    <row r="204" spans="1:23" ht="18" hidden="1" x14ac:dyDescent="0.2">
      <c r="A204" s="167"/>
      <c r="I204" s="167"/>
      <c r="J204" s="167"/>
      <c r="K204" s="167"/>
      <c r="L204" s="167"/>
      <c r="M204" s="167"/>
      <c r="N204" s="167"/>
      <c r="O204" s="167"/>
      <c r="P204" s="167"/>
      <c r="Q204" s="167"/>
      <c r="R204" s="167"/>
      <c r="S204" s="167"/>
      <c r="T204" s="167"/>
      <c r="U204" s="167"/>
      <c r="V204" s="167"/>
      <c r="W204" s="167"/>
    </row>
    <row r="205" spans="1:23" ht="18" hidden="1" x14ac:dyDescent="0.2">
      <c r="A205" s="167"/>
      <c r="I205" s="167"/>
      <c r="J205" s="167"/>
      <c r="K205" s="167"/>
      <c r="L205" s="167"/>
      <c r="M205" s="167"/>
      <c r="N205" s="167"/>
      <c r="O205" s="167"/>
      <c r="P205" s="167"/>
      <c r="Q205" s="167"/>
      <c r="R205" s="167"/>
      <c r="S205" s="167"/>
      <c r="T205" s="167"/>
      <c r="U205" s="167"/>
      <c r="V205" s="167"/>
      <c r="W205" s="167"/>
    </row>
    <row r="206" spans="1:23" ht="18" hidden="1" x14ac:dyDescent="0.2">
      <c r="A206" s="167"/>
      <c r="I206" s="167"/>
      <c r="J206" s="167"/>
      <c r="K206" s="167"/>
      <c r="L206" s="167"/>
      <c r="M206" s="167"/>
      <c r="N206" s="167"/>
      <c r="O206" s="167"/>
      <c r="P206" s="167"/>
      <c r="Q206" s="167"/>
      <c r="R206" s="167"/>
      <c r="S206" s="167"/>
      <c r="T206" s="167"/>
      <c r="U206" s="167"/>
      <c r="V206" s="167"/>
      <c r="W206" s="167"/>
    </row>
    <row r="207" spans="1:23" ht="18" hidden="1" x14ac:dyDescent="0.2">
      <c r="A207" s="167"/>
      <c r="I207" s="167"/>
      <c r="J207" s="167"/>
      <c r="K207" s="167"/>
      <c r="L207" s="167"/>
      <c r="M207" s="167"/>
      <c r="N207" s="167"/>
      <c r="O207" s="167"/>
      <c r="P207" s="167"/>
      <c r="Q207" s="167"/>
      <c r="R207" s="167"/>
      <c r="S207" s="167"/>
      <c r="T207" s="167"/>
      <c r="U207" s="167"/>
      <c r="V207" s="167"/>
      <c r="W207" s="167"/>
    </row>
    <row r="208" spans="1:23" ht="18" hidden="1" x14ac:dyDescent="0.2">
      <c r="A208" s="167"/>
      <c r="I208" s="167"/>
      <c r="J208" s="167"/>
      <c r="K208" s="167"/>
      <c r="L208" s="167"/>
      <c r="M208" s="167"/>
      <c r="N208" s="167"/>
      <c r="O208" s="167"/>
      <c r="P208" s="167"/>
      <c r="Q208" s="167"/>
      <c r="R208" s="167"/>
      <c r="S208" s="167"/>
      <c r="T208" s="167"/>
      <c r="U208" s="167"/>
      <c r="V208" s="167"/>
      <c r="W208" s="167"/>
    </row>
    <row r="209" spans="1:23" ht="18" x14ac:dyDescent="0.2">
      <c r="A209" s="167"/>
      <c r="I209" s="167"/>
      <c r="J209" s="167"/>
      <c r="K209" s="167"/>
      <c r="L209" s="167"/>
      <c r="M209" s="167"/>
      <c r="N209" s="167"/>
      <c r="O209" s="167"/>
      <c r="P209" s="167"/>
      <c r="Q209" s="167"/>
      <c r="R209" s="167"/>
      <c r="S209" s="167"/>
      <c r="T209" s="167"/>
      <c r="U209" s="167"/>
      <c r="V209" s="167"/>
      <c r="W209" s="167"/>
    </row>
    <row r="210" spans="1:23" ht="15.75" customHeight="1" x14ac:dyDescent="0.2">
      <c r="A210" s="167"/>
      <c r="I210" s="167"/>
      <c r="J210" s="167"/>
      <c r="K210" s="167"/>
      <c r="L210" s="167"/>
      <c r="M210" s="167"/>
      <c r="N210" s="167"/>
      <c r="O210" s="167"/>
      <c r="P210" s="167"/>
      <c r="Q210" s="167"/>
      <c r="R210" s="167"/>
      <c r="S210" s="167"/>
      <c r="T210" s="167"/>
      <c r="U210" s="167"/>
      <c r="V210" s="167"/>
      <c r="W210" s="167"/>
    </row>
    <row r="211" spans="1:23" ht="18" x14ac:dyDescent="0.2">
      <c r="A211" s="167"/>
      <c r="I211" s="167"/>
      <c r="J211" s="167"/>
      <c r="K211" s="167"/>
      <c r="L211" s="167"/>
      <c r="M211" s="167"/>
      <c r="N211" s="167"/>
      <c r="O211" s="167"/>
      <c r="P211" s="167"/>
      <c r="Q211" s="167"/>
      <c r="R211" s="167"/>
      <c r="S211" s="167"/>
      <c r="T211" s="167"/>
      <c r="U211" s="167"/>
      <c r="V211" s="167"/>
      <c r="W211" s="167"/>
    </row>
    <row r="212" spans="1:23" ht="18.75" x14ac:dyDescent="0.2">
      <c r="A212" s="167"/>
      <c r="B212" s="607" t="s">
        <v>627</v>
      </c>
      <c r="C212" s="607"/>
      <c r="D212" s="607"/>
      <c r="E212" s="607"/>
      <c r="F212" s="607"/>
      <c r="G212" s="607"/>
      <c r="H212" s="607"/>
      <c r="I212" s="607"/>
      <c r="J212" s="607"/>
      <c r="K212" s="607"/>
      <c r="L212" s="607"/>
      <c r="M212" s="167"/>
      <c r="N212" s="167"/>
      <c r="O212" s="167"/>
      <c r="P212" s="167"/>
      <c r="Q212" s="167"/>
      <c r="R212" s="167"/>
      <c r="S212" s="167"/>
      <c r="T212" s="167"/>
      <c r="U212" s="167"/>
      <c r="V212" s="167"/>
      <c r="W212" s="167"/>
    </row>
    <row r="213" spans="1:23" ht="18" x14ac:dyDescent="0.2">
      <c r="A213" s="167"/>
      <c r="I213" s="167"/>
      <c r="J213" s="167"/>
      <c r="K213" s="167"/>
      <c r="L213" s="167"/>
      <c r="M213" s="167"/>
      <c r="N213" s="167"/>
      <c r="O213" s="167"/>
      <c r="P213" s="167"/>
      <c r="Q213" s="167"/>
      <c r="R213" s="167"/>
      <c r="S213" s="167"/>
      <c r="T213" s="167"/>
      <c r="U213" s="167"/>
      <c r="V213" s="167"/>
      <c r="W213" s="167"/>
    </row>
    <row r="214" spans="1:23" ht="18" x14ac:dyDescent="0.2">
      <c r="K214" s="167"/>
      <c r="L214" s="167"/>
      <c r="M214" s="167"/>
      <c r="N214" s="167"/>
      <c r="O214" s="167"/>
      <c r="P214" s="167"/>
      <c r="Q214" s="167"/>
      <c r="R214" s="167"/>
      <c r="S214" s="167"/>
      <c r="T214" s="167"/>
      <c r="U214" s="167"/>
      <c r="V214" s="167"/>
      <c r="W214" s="167"/>
    </row>
    <row r="215" spans="1:23" ht="18" x14ac:dyDescent="0.2">
      <c r="A215" s="167"/>
      <c r="B215" s="167" t="s">
        <v>14</v>
      </c>
      <c r="C215" s="172"/>
      <c r="D215" s="172"/>
      <c r="E215" s="172"/>
      <c r="F215" s="172"/>
      <c r="G215" s="172"/>
      <c r="H215" s="172"/>
      <c r="I215" s="167"/>
      <c r="J215" s="167"/>
      <c r="K215" s="167"/>
      <c r="L215" s="167"/>
      <c r="M215" s="167"/>
      <c r="N215" s="167"/>
      <c r="O215" s="167"/>
      <c r="P215" s="167"/>
      <c r="Q215" s="167"/>
      <c r="R215" s="167"/>
      <c r="S215" s="167"/>
      <c r="T215" s="167"/>
      <c r="U215" s="167"/>
      <c r="V215" s="167"/>
      <c r="W215" s="167"/>
    </row>
    <row r="216" spans="1:23" ht="18" x14ac:dyDescent="0.2">
      <c r="A216" s="167"/>
      <c r="B216" s="167"/>
      <c r="C216" s="167"/>
      <c r="D216" s="167"/>
      <c r="E216" s="167"/>
      <c r="F216" s="167"/>
      <c r="G216" s="167"/>
      <c r="H216" s="167"/>
      <c r="I216" s="167"/>
      <c r="J216" s="167"/>
      <c r="K216" s="167"/>
      <c r="L216" s="167"/>
      <c r="M216" s="167"/>
      <c r="N216" s="167"/>
      <c r="O216" s="167"/>
      <c r="P216" s="167"/>
      <c r="Q216" s="167"/>
      <c r="R216" s="167"/>
      <c r="S216" s="167"/>
      <c r="T216" s="167"/>
      <c r="U216" s="167"/>
      <c r="V216" s="167"/>
      <c r="W216" s="167"/>
    </row>
    <row r="217" spans="1:23" ht="18" x14ac:dyDescent="0.2">
      <c r="A217" s="167"/>
      <c r="B217" s="167"/>
      <c r="C217" s="167"/>
      <c r="D217" s="167"/>
      <c r="E217" s="167"/>
      <c r="F217" s="167"/>
      <c r="G217" s="167"/>
      <c r="H217" s="167"/>
      <c r="I217" s="167"/>
      <c r="J217" s="167"/>
      <c r="K217" s="167"/>
      <c r="L217" s="167"/>
      <c r="M217" s="167"/>
      <c r="N217" s="167"/>
      <c r="O217" s="167"/>
      <c r="P217" s="167"/>
      <c r="Q217" s="167"/>
      <c r="R217" s="167"/>
      <c r="S217" s="167"/>
      <c r="T217" s="167"/>
      <c r="U217" s="167"/>
      <c r="V217" s="167"/>
      <c r="W217" s="167"/>
    </row>
    <row r="218" spans="1:23" ht="18" x14ac:dyDescent="0.2">
      <c r="A218" s="167"/>
      <c r="C218" s="173"/>
      <c r="D218" s="532" t="s">
        <v>630</v>
      </c>
      <c r="E218" s="532"/>
      <c r="F218" s="532"/>
      <c r="G218" s="532"/>
      <c r="H218" s="532"/>
      <c r="I218" s="532"/>
      <c r="J218" s="532"/>
      <c r="K218" s="175"/>
      <c r="L218" s="175"/>
      <c r="M218" s="167"/>
      <c r="N218" s="167"/>
      <c r="O218" s="167"/>
      <c r="P218" s="167"/>
      <c r="Q218" s="167"/>
      <c r="R218" s="167"/>
      <c r="S218" s="167"/>
      <c r="T218" s="167"/>
      <c r="U218" s="167"/>
      <c r="V218" s="167"/>
      <c r="W218" s="167"/>
    </row>
    <row r="219" spans="1:23" ht="18" x14ac:dyDescent="0.2">
      <c r="A219" s="167"/>
      <c r="B219" s="173"/>
      <c r="C219" s="173"/>
      <c r="D219" s="173"/>
      <c r="E219" s="173"/>
      <c r="F219" s="173"/>
      <c r="G219" s="173"/>
      <c r="H219" s="173"/>
      <c r="I219" s="173"/>
      <c r="J219" s="175"/>
      <c r="K219" s="175"/>
      <c r="L219" s="175"/>
      <c r="M219" s="167"/>
      <c r="N219" s="167"/>
      <c r="O219" s="167"/>
      <c r="P219" s="167"/>
      <c r="Q219" s="167"/>
      <c r="R219" s="167"/>
      <c r="S219" s="167"/>
      <c r="T219" s="167"/>
      <c r="U219" s="167"/>
      <c r="V219" s="167"/>
      <c r="W219" s="167"/>
    </row>
    <row r="220" spans="1:23" ht="18" x14ac:dyDescent="0.2">
      <c r="K220" s="167"/>
      <c r="L220" s="167"/>
      <c r="M220" s="167"/>
      <c r="N220" s="167"/>
      <c r="O220" s="167"/>
      <c r="P220" s="167"/>
      <c r="Q220" s="167"/>
      <c r="R220" s="167"/>
      <c r="S220" s="167"/>
      <c r="T220" s="167"/>
      <c r="U220" s="167"/>
      <c r="V220" s="167"/>
      <c r="W220" s="167"/>
    </row>
    <row r="221" spans="1:23" ht="18" x14ac:dyDescent="0.2">
      <c r="A221" s="167"/>
      <c r="B221" s="171" t="s">
        <v>623</v>
      </c>
      <c r="C221" s="171"/>
      <c r="D221" s="171"/>
      <c r="E221" s="171"/>
      <c r="F221" s="171"/>
      <c r="G221" s="167"/>
      <c r="H221" s="167"/>
      <c r="I221" s="167"/>
      <c r="J221" s="167"/>
      <c r="K221" s="167"/>
      <c r="L221" s="167"/>
      <c r="M221" s="167"/>
      <c r="N221" s="167"/>
      <c r="O221" s="167"/>
      <c r="P221" s="167"/>
      <c r="Q221" s="167"/>
      <c r="R221" s="167"/>
      <c r="S221" s="167"/>
      <c r="T221" s="167"/>
      <c r="U221" s="167"/>
      <c r="V221" s="167"/>
      <c r="W221" s="167"/>
    </row>
    <row r="222" spans="1:23" ht="18" x14ac:dyDescent="0.2">
      <c r="K222" s="167"/>
      <c r="L222" s="167"/>
      <c r="M222" s="167"/>
      <c r="N222" s="167"/>
      <c r="O222" s="167"/>
      <c r="P222" s="167"/>
      <c r="Q222" s="167"/>
      <c r="R222" s="167"/>
      <c r="S222" s="167"/>
      <c r="T222" s="167"/>
      <c r="U222" s="167"/>
      <c r="V222" s="167"/>
      <c r="W222" s="167"/>
    </row>
    <row r="223" spans="1:23" ht="18" x14ac:dyDescent="0.2">
      <c r="K223" s="167"/>
      <c r="L223" s="167"/>
      <c r="M223" s="167"/>
      <c r="N223" s="167"/>
      <c r="O223" s="167"/>
      <c r="P223" s="167"/>
      <c r="Q223" s="167"/>
      <c r="R223" s="167"/>
      <c r="S223" s="167"/>
      <c r="T223" s="167"/>
      <c r="U223" s="167"/>
      <c r="V223" s="167"/>
      <c r="W223" s="167"/>
    </row>
    <row r="224" spans="1:23" s="167" customFormat="1" ht="18" x14ac:dyDescent="0.2">
      <c r="A224" s="166"/>
      <c r="B224" s="277" t="s">
        <v>677</v>
      </c>
      <c r="C224" s="278"/>
      <c r="D224" s="278"/>
      <c r="E224" s="278"/>
      <c r="F224" s="279"/>
      <c r="G224" s="279"/>
      <c r="H224" s="279"/>
      <c r="I224" s="279"/>
      <c r="J224" s="279"/>
      <c r="K224" s="272"/>
      <c r="L224" s="272"/>
    </row>
    <row r="225" spans="1:23" ht="18" x14ac:dyDescent="0.2">
      <c r="B225" s="279"/>
      <c r="C225" s="279"/>
      <c r="D225" s="279"/>
      <c r="E225" s="279"/>
      <c r="F225" s="279"/>
      <c r="G225" s="279"/>
      <c r="H225" s="279"/>
      <c r="I225" s="279"/>
      <c r="J225" s="279"/>
      <c r="K225" s="272"/>
      <c r="L225" s="272"/>
      <c r="M225" s="167"/>
      <c r="N225" s="167"/>
      <c r="O225" s="167"/>
      <c r="P225" s="167"/>
      <c r="Q225" s="167"/>
      <c r="R225" s="167"/>
      <c r="S225" s="167"/>
      <c r="T225" s="167"/>
      <c r="U225" s="167"/>
      <c r="V225" s="167"/>
      <c r="W225" s="167"/>
    </row>
    <row r="226" spans="1:23" ht="18" x14ac:dyDescent="0.2">
      <c r="A226" s="167"/>
      <c r="B226" s="272" t="s">
        <v>42</v>
      </c>
      <c r="C226" s="272"/>
      <c r="D226" s="272"/>
      <c r="E226" s="272"/>
      <c r="F226" s="279"/>
      <c r="G226" s="279"/>
      <c r="H226" s="279"/>
      <c r="I226" s="279"/>
      <c r="J226" s="279"/>
      <c r="K226" s="272"/>
      <c r="L226" s="272"/>
      <c r="M226" s="167"/>
      <c r="N226" s="167"/>
      <c r="O226" s="167"/>
      <c r="P226" s="167"/>
      <c r="Q226" s="167"/>
      <c r="R226" s="167"/>
      <c r="S226" s="167"/>
      <c r="T226" s="167"/>
      <c r="U226" s="167"/>
      <c r="V226" s="167"/>
      <c r="W226" s="167"/>
    </row>
    <row r="227" spans="1:23" ht="18" x14ac:dyDescent="0.2">
      <c r="A227" s="167"/>
      <c r="B227" s="272"/>
      <c r="C227" s="272"/>
      <c r="D227" s="272"/>
      <c r="E227" s="272"/>
      <c r="F227" s="279"/>
      <c r="G227" s="279"/>
      <c r="H227" s="279"/>
      <c r="I227" s="279"/>
      <c r="J227" s="279"/>
      <c r="K227" s="272"/>
      <c r="L227" s="272"/>
      <c r="M227" s="167"/>
      <c r="N227" s="167"/>
      <c r="O227" s="167"/>
      <c r="P227" s="167"/>
      <c r="Q227" s="167"/>
      <c r="R227" s="167"/>
      <c r="S227" s="167"/>
      <c r="T227" s="167"/>
      <c r="U227" s="167"/>
      <c r="V227" s="167"/>
      <c r="W227" s="167"/>
    </row>
    <row r="228" spans="1:23" ht="18" x14ac:dyDescent="0.2">
      <c r="A228" s="167"/>
      <c r="B228" s="276" t="s">
        <v>625</v>
      </c>
      <c r="C228" s="272"/>
      <c r="D228" s="272"/>
      <c r="E228" s="272"/>
      <c r="F228" s="279"/>
      <c r="G228" s="278"/>
      <c r="H228" s="272"/>
      <c r="I228" s="272"/>
      <c r="J228" s="272"/>
      <c r="K228" s="272"/>
      <c r="L228" s="272"/>
      <c r="M228" s="167"/>
      <c r="N228" s="167"/>
      <c r="O228" s="167"/>
      <c r="P228" s="167"/>
      <c r="Q228" s="167"/>
      <c r="R228" s="167"/>
      <c r="S228" s="167"/>
      <c r="T228" s="167"/>
      <c r="U228" s="167"/>
      <c r="V228" s="167"/>
      <c r="W228" s="167"/>
    </row>
    <row r="229" spans="1:23" ht="18" customHeight="1" x14ac:dyDescent="0.2">
      <c r="A229" s="167"/>
      <c r="B229" s="276"/>
      <c r="C229" s="272"/>
      <c r="D229" s="272"/>
      <c r="E229" s="272"/>
      <c r="F229" s="279"/>
      <c r="G229" s="278"/>
      <c r="H229" s="272"/>
      <c r="I229" s="272"/>
      <c r="J229" s="272"/>
      <c r="K229" s="272"/>
      <c r="L229" s="272"/>
      <c r="M229" s="167"/>
      <c r="N229" s="167"/>
      <c r="O229" s="167"/>
      <c r="P229" s="167"/>
      <c r="Q229" s="167"/>
      <c r="R229" s="167"/>
      <c r="S229" s="167"/>
      <c r="T229" s="167"/>
      <c r="U229" s="167"/>
      <c r="V229" s="167"/>
      <c r="W229" s="167"/>
    </row>
    <row r="230" spans="1:23" ht="18" x14ac:dyDescent="0.2">
      <c r="A230" s="167"/>
      <c r="B230" s="272" t="s">
        <v>624</v>
      </c>
      <c r="C230" s="272"/>
      <c r="D230" s="272"/>
      <c r="E230" s="272"/>
      <c r="F230" s="278"/>
      <c r="G230" s="272"/>
      <c r="H230" s="272"/>
      <c r="I230" s="272"/>
      <c r="J230" s="272"/>
      <c r="K230" s="272"/>
      <c r="L230" s="272"/>
      <c r="M230" s="167"/>
      <c r="N230" s="167"/>
      <c r="O230" s="167"/>
      <c r="P230" s="167"/>
      <c r="Q230" s="167"/>
      <c r="R230" s="167"/>
      <c r="S230" s="167"/>
      <c r="T230" s="167"/>
      <c r="U230" s="167"/>
      <c r="V230" s="167"/>
      <c r="W230" s="167"/>
    </row>
    <row r="231" spans="1:23" ht="18" customHeight="1" x14ac:dyDescent="0.2">
      <c r="A231" s="167"/>
      <c r="B231" s="279"/>
      <c r="C231" s="279"/>
      <c r="D231" s="279"/>
      <c r="E231" s="279"/>
      <c r="F231" s="272"/>
      <c r="G231" s="272"/>
      <c r="H231" s="272"/>
      <c r="I231" s="272"/>
      <c r="J231" s="272"/>
      <c r="K231" s="272"/>
      <c r="L231" s="272"/>
      <c r="M231" s="167"/>
      <c r="N231" s="167"/>
      <c r="O231" s="167"/>
      <c r="P231" s="167"/>
      <c r="Q231" s="167"/>
      <c r="R231" s="167"/>
      <c r="S231" s="167"/>
      <c r="T231" s="167"/>
      <c r="U231" s="167"/>
      <c r="V231" s="167"/>
      <c r="W231" s="167"/>
    </row>
    <row r="232" spans="1:23" ht="42.75" customHeight="1" x14ac:dyDescent="0.2">
      <c r="A232" s="167"/>
      <c r="B232" s="533" t="s">
        <v>15</v>
      </c>
      <c r="C232" s="533"/>
      <c r="D232" s="533"/>
      <c r="E232" s="533"/>
      <c r="F232" s="533"/>
      <c r="G232" s="533"/>
      <c r="H232" s="533"/>
      <c r="I232" s="533"/>
      <c r="J232" s="533"/>
      <c r="K232" s="533"/>
      <c r="L232" s="533"/>
      <c r="M232" s="167"/>
      <c r="N232" s="167"/>
      <c r="O232" s="167"/>
      <c r="P232" s="167"/>
      <c r="Q232" s="167"/>
      <c r="R232" s="167"/>
      <c r="S232" s="167"/>
      <c r="T232" s="167"/>
      <c r="U232" s="167"/>
      <c r="V232" s="167"/>
      <c r="W232" s="167"/>
    </row>
    <row r="233" spans="1:23" ht="18" x14ac:dyDescent="0.2">
      <c r="A233" s="167"/>
      <c r="B233" s="272"/>
      <c r="C233" s="272"/>
      <c r="D233" s="272"/>
      <c r="E233" s="272"/>
      <c r="F233" s="272"/>
      <c r="G233" s="272"/>
      <c r="H233" s="272"/>
      <c r="I233" s="272"/>
      <c r="J233" s="272"/>
      <c r="K233" s="279"/>
      <c r="L233" s="272"/>
      <c r="M233" s="167"/>
      <c r="N233" s="167"/>
      <c r="O233" s="167"/>
      <c r="P233" s="167"/>
      <c r="Q233" s="167"/>
      <c r="R233" s="167"/>
      <c r="S233" s="167"/>
      <c r="T233" s="167"/>
      <c r="U233" s="167"/>
      <c r="V233" s="167"/>
      <c r="W233" s="167"/>
    </row>
    <row r="234" spans="1:23" ht="18" x14ac:dyDescent="0.2">
      <c r="A234" s="167"/>
      <c r="B234" s="272" t="s">
        <v>16</v>
      </c>
      <c r="C234" s="272"/>
      <c r="D234" s="272"/>
      <c r="E234" s="272"/>
      <c r="F234" s="272"/>
      <c r="G234" s="272"/>
      <c r="H234" s="272"/>
      <c r="I234" s="272"/>
      <c r="J234" s="272"/>
      <c r="K234" s="272"/>
      <c r="L234" s="272"/>
      <c r="M234" s="167"/>
      <c r="N234" s="167"/>
      <c r="O234" s="167"/>
      <c r="P234" s="167"/>
      <c r="Q234" s="167"/>
      <c r="R234" s="167"/>
      <c r="S234" s="167"/>
      <c r="T234" s="167"/>
      <c r="U234" s="167"/>
      <c r="V234" s="167"/>
      <c r="W234" s="167"/>
    </row>
    <row r="235" spans="1:23" ht="18" x14ac:dyDescent="0.2">
      <c r="A235" s="167"/>
      <c r="B235" s="272"/>
      <c r="C235" s="272"/>
      <c r="D235" s="272"/>
      <c r="E235" s="272"/>
      <c r="F235" s="272"/>
      <c r="G235" s="272"/>
      <c r="H235" s="272"/>
      <c r="I235" s="272"/>
      <c r="J235" s="272"/>
      <c r="K235" s="272"/>
      <c r="L235" s="272"/>
      <c r="M235" s="167"/>
      <c r="N235" s="167"/>
      <c r="O235" s="167"/>
      <c r="P235" s="167"/>
      <c r="Q235" s="167"/>
      <c r="R235" s="167"/>
      <c r="S235" s="167"/>
      <c r="T235" s="167"/>
      <c r="U235" s="167"/>
      <c r="V235" s="167"/>
      <c r="W235" s="167"/>
    </row>
    <row r="236" spans="1:23" ht="18" x14ac:dyDescent="0.2">
      <c r="A236" s="167"/>
      <c r="B236" s="272" t="s">
        <v>626</v>
      </c>
      <c r="C236" s="272"/>
      <c r="D236" s="272"/>
      <c r="E236" s="272"/>
      <c r="F236" s="272"/>
      <c r="G236" s="272"/>
      <c r="H236" s="272"/>
      <c r="I236" s="272"/>
      <c r="J236" s="272"/>
      <c r="K236" s="272"/>
      <c r="L236" s="272"/>
      <c r="M236" s="167"/>
      <c r="N236" s="167"/>
      <c r="O236" s="167"/>
      <c r="P236" s="167"/>
      <c r="Q236" s="167"/>
      <c r="R236" s="167"/>
      <c r="S236" s="167"/>
      <c r="T236" s="167"/>
      <c r="U236" s="167"/>
      <c r="V236" s="167"/>
      <c r="W236" s="167"/>
    </row>
    <row r="237" spans="1:23" ht="18" x14ac:dyDescent="0.2">
      <c r="A237" s="167"/>
      <c r="B237" s="167"/>
      <c r="C237" s="167"/>
      <c r="D237" s="167"/>
      <c r="E237" s="167"/>
      <c r="F237" s="167"/>
      <c r="G237" s="167"/>
      <c r="H237" s="167"/>
      <c r="I237" s="167"/>
      <c r="J237" s="167"/>
      <c r="K237" s="167"/>
      <c r="L237" s="167"/>
      <c r="M237" s="167"/>
      <c r="N237" s="167"/>
      <c r="O237" s="167"/>
      <c r="P237" s="167"/>
      <c r="Q237" s="167"/>
      <c r="R237" s="167"/>
      <c r="S237" s="167"/>
      <c r="T237" s="167"/>
      <c r="U237" s="167"/>
      <c r="V237" s="167"/>
      <c r="W237" s="167"/>
    </row>
    <row r="238" spans="1:23" ht="18" x14ac:dyDescent="0.2">
      <c r="A238" s="167"/>
      <c r="B238" s="167"/>
      <c r="C238" s="167" t="s">
        <v>678</v>
      </c>
      <c r="D238" s="167"/>
      <c r="E238" s="167"/>
      <c r="F238" s="387">
        <v>3000</v>
      </c>
      <c r="G238" s="167"/>
      <c r="H238" s="167"/>
      <c r="I238" s="167"/>
      <c r="J238" s="167"/>
      <c r="K238" s="167"/>
      <c r="L238" s="167"/>
    </row>
    <row r="239" spans="1:23" ht="18" x14ac:dyDescent="0.2">
      <c r="A239" s="167"/>
      <c r="H239" s="167"/>
      <c r="I239" s="167"/>
      <c r="J239" s="167"/>
      <c r="K239" s="167"/>
      <c r="L239" s="175"/>
      <c r="M239" s="167"/>
      <c r="N239" s="167"/>
      <c r="O239" s="167"/>
      <c r="P239" s="167"/>
      <c r="Q239" s="167"/>
      <c r="R239" s="167"/>
      <c r="S239" s="167"/>
      <c r="T239" s="167"/>
      <c r="U239" s="167"/>
      <c r="V239" s="167"/>
      <c r="W239" s="167"/>
    </row>
    <row r="240" spans="1:23" ht="18" x14ac:dyDescent="0.2">
      <c r="K240" s="167"/>
      <c r="L240" s="167"/>
    </row>
    <row r="241" spans="1:23" ht="18" x14ac:dyDescent="0.2">
      <c r="A241" s="167"/>
      <c r="B241" s="277" t="s">
        <v>679</v>
      </c>
      <c r="C241" s="277"/>
      <c r="D241" s="277"/>
      <c r="E241" s="277"/>
      <c r="F241" s="277"/>
      <c r="G241" s="277"/>
      <c r="H241" s="272"/>
      <c r="I241" s="272"/>
      <c r="J241" s="272"/>
      <c r="K241" s="272"/>
      <c r="L241" s="279"/>
    </row>
    <row r="242" spans="1:23" ht="18" x14ac:dyDescent="0.2">
      <c r="B242" s="279"/>
      <c r="C242" s="279"/>
      <c r="D242" s="279"/>
      <c r="E242" s="279"/>
      <c r="F242" s="279"/>
      <c r="G242" s="279"/>
      <c r="H242" s="279"/>
      <c r="I242" s="279"/>
      <c r="J242" s="279"/>
      <c r="K242" s="272"/>
      <c r="L242" s="272"/>
      <c r="M242" s="167"/>
      <c r="N242" s="167"/>
      <c r="O242" s="167"/>
      <c r="P242" s="167"/>
      <c r="Q242" s="167"/>
      <c r="R242" s="167"/>
      <c r="S242" s="167"/>
      <c r="T242" s="167"/>
      <c r="U242" s="167"/>
      <c r="V242" s="167"/>
      <c r="W242" s="167"/>
    </row>
    <row r="243" spans="1:23" ht="48" customHeight="1" x14ac:dyDescent="0.2">
      <c r="A243" s="167"/>
      <c r="B243" s="533" t="s">
        <v>752</v>
      </c>
      <c r="C243" s="533"/>
      <c r="D243" s="533"/>
      <c r="E243" s="533"/>
      <c r="F243" s="533"/>
      <c r="G243" s="533"/>
      <c r="H243" s="533"/>
      <c r="I243" s="533"/>
      <c r="J243" s="533"/>
      <c r="K243" s="533"/>
      <c r="L243" s="533"/>
      <c r="M243" s="167"/>
      <c r="N243" s="167"/>
      <c r="O243" s="167"/>
      <c r="P243" s="167"/>
      <c r="Q243" s="167"/>
      <c r="R243" s="167"/>
      <c r="S243" s="167"/>
      <c r="T243" s="167"/>
      <c r="U243" s="167"/>
      <c r="V243" s="167"/>
      <c r="W243" s="167"/>
    </row>
    <row r="244" spans="1:23" ht="6" customHeight="1" x14ac:dyDescent="0.2">
      <c r="A244" s="167"/>
      <c r="B244" s="272"/>
      <c r="C244" s="272"/>
      <c r="D244" s="272"/>
      <c r="E244" s="272"/>
      <c r="F244" s="272"/>
      <c r="G244" s="272"/>
      <c r="H244" s="272"/>
      <c r="I244" s="272"/>
      <c r="J244" s="272"/>
      <c r="K244" s="272"/>
      <c r="L244" s="272"/>
      <c r="M244" s="167"/>
      <c r="N244" s="167"/>
      <c r="O244" s="167"/>
      <c r="P244" s="167"/>
      <c r="Q244" s="167"/>
      <c r="R244" s="167"/>
      <c r="S244" s="167"/>
      <c r="T244" s="167"/>
      <c r="U244" s="167"/>
      <c r="V244" s="167"/>
      <c r="W244" s="167"/>
    </row>
    <row r="245" spans="1:23" ht="33.75" customHeight="1" x14ac:dyDescent="0.2">
      <c r="A245" s="167"/>
      <c r="B245" s="533" t="s">
        <v>722</v>
      </c>
      <c r="C245" s="533"/>
      <c r="D245" s="533"/>
      <c r="E245" s="533"/>
      <c r="F245" s="533"/>
      <c r="G245" s="533"/>
      <c r="H245" s="533"/>
      <c r="I245" s="533"/>
      <c r="J245" s="533"/>
      <c r="K245" s="533"/>
      <c r="L245" s="533"/>
      <c r="M245" s="167"/>
      <c r="N245" s="167"/>
      <c r="O245" s="167"/>
      <c r="P245" s="167"/>
      <c r="Q245" s="167"/>
      <c r="R245" s="167"/>
      <c r="S245" s="167"/>
      <c r="T245" s="167"/>
      <c r="U245" s="167"/>
      <c r="V245" s="167"/>
      <c r="W245" s="167"/>
    </row>
    <row r="246" spans="1:23" ht="18" x14ac:dyDescent="0.2">
      <c r="K246" s="167"/>
      <c r="L246" s="167"/>
      <c r="M246" s="167"/>
      <c r="N246" s="167"/>
      <c r="O246" s="167"/>
      <c r="P246" s="167"/>
      <c r="Q246" s="167"/>
      <c r="R246" s="167"/>
      <c r="S246" s="167"/>
      <c r="T246" s="167"/>
      <c r="U246" s="167"/>
      <c r="V246" s="167"/>
      <c r="W246" s="167"/>
    </row>
    <row r="247" spans="1:23" ht="18" x14ac:dyDescent="0.2">
      <c r="K247" s="167"/>
      <c r="L247" s="167"/>
      <c r="M247" s="167"/>
      <c r="N247" s="167"/>
      <c r="O247" s="167"/>
      <c r="P247" s="167"/>
      <c r="Q247" s="167"/>
      <c r="R247" s="167"/>
      <c r="S247" s="167"/>
      <c r="T247" s="167"/>
      <c r="U247" s="167"/>
      <c r="V247" s="167"/>
      <c r="W247" s="167"/>
    </row>
    <row r="248" spans="1:23" ht="18" x14ac:dyDescent="0.2">
      <c r="A248" s="167"/>
      <c r="B248" s="277" t="s">
        <v>628</v>
      </c>
      <c r="C248" s="272"/>
      <c r="D248" s="272"/>
      <c r="E248" s="272"/>
      <c r="F248" s="272"/>
      <c r="G248" s="272"/>
      <c r="H248" s="272"/>
      <c r="I248" s="272"/>
      <c r="J248" s="272"/>
      <c r="K248" s="272"/>
      <c r="L248" s="272"/>
      <c r="M248" s="167"/>
      <c r="N248" s="167"/>
      <c r="O248" s="167"/>
      <c r="P248" s="167"/>
      <c r="Q248" s="167"/>
      <c r="R248" s="167"/>
      <c r="S248" s="167"/>
      <c r="T248" s="167"/>
      <c r="U248" s="167"/>
      <c r="V248" s="167"/>
      <c r="W248" s="167"/>
    </row>
    <row r="249" spans="1:23" ht="18" x14ac:dyDescent="0.2">
      <c r="A249" s="167"/>
      <c r="B249" s="272"/>
      <c r="C249" s="272"/>
      <c r="D249" s="272"/>
      <c r="E249" s="272"/>
      <c r="F249" s="272"/>
      <c r="G249" s="272"/>
      <c r="H249" s="272"/>
      <c r="I249" s="272"/>
      <c r="J249" s="272"/>
      <c r="K249" s="279"/>
      <c r="L249" s="279"/>
      <c r="M249" s="167"/>
      <c r="N249" s="167"/>
      <c r="O249" s="167"/>
      <c r="P249" s="167"/>
      <c r="Q249" s="167"/>
      <c r="R249" s="167"/>
      <c r="S249" s="167"/>
      <c r="T249" s="167"/>
      <c r="U249" s="167"/>
      <c r="V249" s="167"/>
      <c r="W249" s="167"/>
    </row>
    <row r="250" spans="1:23" ht="18" x14ac:dyDescent="0.2">
      <c r="A250" s="167"/>
      <c r="B250" s="276" t="s">
        <v>0</v>
      </c>
      <c r="C250" s="272"/>
      <c r="D250" s="272"/>
      <c r="E250" s="272"/>
      <c r="F250" s="272"/>
      <c r="G250" s="272"/>
      <c r="H250" s="272"/>
      <c r="I250" s="272"/>
      <c r="J250" s="272"/>
      <c r="K250" s="272"/>
      <c r="L250" s="272"/>
      <c r="M250" s="167"/>
      <c r="N250" s="167"/>
      <c r="O250" s="167"/>
      <c r="P250" s="167"/>
      <c r="Q250" s="167"/>
      <c r="R250" s="167"/>
      <c r="S250" s="167"/>
      <c r="T250" s="167"/>
      <c r="U250" s="167"/>
      <c r="V250" s="167"/>
      <c r="W250" s="167"/>
    </row>
    <row r="251" spans="1:23" ht="18" x14ac:dyDescent="0.2">
      <c r="A251" s="167"/>
      <c r="B251" s="272"/>
      <c r="C251" s="272"/>
      <c r="D251" s="272"/>
      <c r="E251" s="272"/>
      <c r="F251" s="272"/>
      <c r="G251" s="272"/>
      <c r="H251" s="272"/>
      <c r="I251" s="272"/>
      <c r="J251" s="272"/>
      <c r="K251" s="272"/>
      <c r="L251" s="272"/>
      <c r="M251" s="167"/>
      <c r="N251" s="167"/>
      <c r="O251" s="167"/>
      <c r="P251" s="167"/>
      <c r="Q251" s="167"/>
      <c r="R251" s="167"/>
      <c r="S251" s="167"/>
      <c r="T251" s="167"/>
      <c r="U251" s="167"/>
      <c r="V251" s="167"/>
      <c r="W251" s="167"/>
    </row>
    <row r="252" spans="1:23" ht="51.75" customHeight="1" x14ac:dyDescent="0.2">
      <c r="A252" s="167"/>
      <c r="B252" s="534" t="s">
        <v>753</v>
      </c>
      <c r="C252" s="534"/>
      <c r="D252" s="534"/>
      <c r="E252" s="534"/>
      <c r="F252" s="534"/>
      <c r="G252" s="534"/>
      <c r="H252" s="534"/>
      <c r="I252" s="534"/>
      <c r="J252" s="534"/>
      <c r="K252" s="534"/>
      <c r="L252" s="534"/>
      <c r="W252" s="167"/>
    </row>
    <row r="253" spans="1:23" ht="5.25" customHeight="1" x14ac:dyDescent="0.2">
      <c r="A253" s="167"/>
      <c r="B253" s="280"/>
      <c r="C253" s="280"/>
      <c r="D253" s="280"/>
      <c r="E253" s="280"/>
      <c r="F253" s="280"/>
      <c r="G253" s="280"/>
      <c r="H253" s="280"/>
      <c r="I253" s="280"/>
      <c r="J253" s="272"/>
      <c r="K253" s="272"/>
      <c r="L253" s="272"/>
      <c r="M253" s="167"/>
      <c r="N253" s="167"/>
      <c r="O253" s="167"/>
      <c r="P253" s="167"/>
      <c r="Q253" s="167"/>
      <c r="R253" s="167"/>
      <c r="S253" s="167"/>
      <c r="T253" s="167"/>
      <c r="U253" s="167"/>
      <c r="V253" s="167"/>
      <c r="W253" s="167"/>
    </row>
    <row r="254" spans="1:23" ht="5.25" customHeight="1" x14ac:dyDescent="0.2">
      <c r="A254" s="167"/>
      <c r="B254" s="280"/>
      <c r="C254" s="280"/>
      <c r="D254" s="280"/>
      <c r="E254" s="280"/>
      <c r="F254" s="280"/>
      <c r="G254" s="280"/>
      <c r="H254" s="280"/>
      <c r="I254" s="280"/>
      <c r="J254" s="272"/>
      <c r="K254" s="279"/>
      <c r="L254" s="279"/>
    </row>
    <row r="255" spans="1:23" ht="5.25" customHeight="1" x14ac:dyDescent="0.2">
      <c r="A255" s="167"/>
      <c r="B255" s="272"/>
      <c r="C255" s="272"/>
      <c r="D255" s="272"/>
      <c r="E255" s="272"/>
      <c r="F255" s="272"/>
      <c r="G255" s="272"/>
      <c r="H255" s="272"/>
      <c r="I255" s="272"/>
      <c r="J255" s="272"/>
      <c r="K255" s="279"/>
      <c r="L255" s="279"/>
      <c r="M255" s="167"/>
      <c r="N255" s="167"/>
      <c r="O255" s="167"/>
      <c r="P255" s="167"/>
      <c r="Q255" s="167"/>
      <c r="R255" s="167"/>
      <c r="S255" s="167"/>
      <c r="T255" s="167"/>
      <c r="U255" s="167"/>
      <c r="V255" s="167"/>
      <c r="W255" s="167"/>
    </row>
    <row r="256" spans="1:23" ht="33" customHeight="1" x14ac:dyDescent="0.2">
      <c r="A256" s="167"/>
      <c r="B256" s="533" t="s">
        <v>17</v>
      </c>
      <c r="C256" s="533"/>
      <c r="D256" s="533"/>
      <c r="E256" s="533"/>
      <c r="F256" s="533"/>
      <c r="G256" s="533"/>
      <c r="H256" s="533"/>
      <c r="I256" s="533"/>
      <c r="J256" s="533"/>
      <c r="K256" s="533"/>
      <c r="L256" s="533"/>
      <c r="M256" s="167"/>
      <c r="N256" s="167"/>
      <c r="O256" s="167"/>
      <c r="P256" s="167"/>
      <c r="Q256" s="167"/>
      <c r="R256" s="167"/>
      <c r="S256" s="167"/>
      <c r="T256" s="167"/>
      <c r="U256" s="167"/>
      <c r="V256" s="167"/>
      <c r="W256" s="167"/>
    </row>
    <row r="257" spans="1:23" ht="18" x14ac:dyDescent="0.2">
      <c r="A257" s="167"/>
      <c r="B257" s="167"/>
      <c r="C257" s="167"/>
      <c r="D257" s="167"/>
      <c r="E257" s="167"/>
      <c r="F257" s="167"/>
      <c r="G257" s="167"/>
      <c r="H257" s="167"/>
      <c r="I257" s="167"/>
      <c r="J257" s="167"/>
      <c r="M257" s="167"/>
      <c r="N257" s="167"/>
      <c r="O257" s="167"/>
      <c r="P257" s="167"/>
      <c r="Q257" s="167"/>
      <c r="R257" s="167"/>
      <c r="S257" s="167"/>
      <c r="T257" s="167"/>
      <c r="U257" s="167"/>
      <c r="V257" s="167"/>
      <c r="W257" s="167"/>
    </row>
    <row r="258" spans="1:23" ht="18" x14ac:dyDescent="0.2">
      <c r="A258" s="167"/>
      <c r="K258" s="167"/>
      <c r="L258" s="167"/>
      <c r="M258" s="167"/>
      <c r="N258" s="167"/>
      <c r="O258" s="167"/>
      <c r="P258" s="167"/>
      <c r="Q258" s="167"/>
      <c r="R258" s="167"/>
      <c r="S258" s="167"/>
      <c r="T258" s="167"/>
      <c r="U258" s="167"/>
      <c r="V258" s="167"/>
      <c r="W258" s="167"/>
    </row>
    <row r="259" spans="1:23" ht="18" x14ac:dyDescent="0.2">
      <c r="A259" s="167"/>
      <c r="B259" s="277" t="s">
        <v>629</v>
      </c>
      <c r="C259" s="167"/>
      <c r="D259" s="167"/>
      <c r="E259" s="167"/>
      <c r="F259" s="167"/>
      <c r="G259" s="167"/>
      <c r="H259" s="167"/>
      <c r="I259" s="167"/>
      <c r="J259" s="167"/>
      <c r="K259" s="167"/>
      <c r="L259" s="167"/>
      <c r="M259" s="167"/>
      <c r="N259" s="167"/>
      <c r="O259" s="167"/>
      <c r="P259" s="167"/>
      <c r="Q259" s="167"/>
      <c r="R259" s="167"/>
      <c r="S259" s="167"/>
      <c r="T259" s="167"/>
      <c r="U259" s="167"/>
      <c r="V259" s="167"/>
      <c r="W259" s="167"/>
    </row>
    <row r="260" spans="1:23" ht="18" x14ac:dyDescent="0.2">
      <c r="A260" s="167"/>
      <c r="B260" s="167"/>
      <c r="C260" s="167"/>
      <c r="D260" s="167"/>
      <c r="E260" s="167"/>
      <c r="F260" s="167"/>
      <c r="G260" s="167"/>
      <c r="H260" s="167"/>
      <c r="I260" s="167"/>
      <c r="J260" s="167"/>
      <c r="K260" s="167"/>
      <c r="L260" s="167"/>
    </row>
    <row r="261" spans="1:23" ht="18" x14ac:dyDescent="0.2">
      <c r="A261" s="167"/>
      <c r="B261" s="272" t="s">
        <v>681</v>
      </c>
      <c r="C261" s="167"/>
      <c r="D261" s="167"/>
      <c r="F261" s="387">
        <v>100000</v>
      </c>
      <c r="G261" s="168"/>
      <c r="H261" s="168"/>
      <c r="I261" s="168"/>
      <c r="J261" s="167"/>
      <c r="L261" s="167"/>
      <c r="M261" s="167"/>
      <c r="N261" s="167"/>
      <c r="O261" s="167"/>
      <c r="P261" s="167"/>
      <c r="Q261" s="167"/>
      <c r="R261" s="167"/>
      <c r="S261" s="167"/>
      <c r="T261" s="167"/>
      <c r="U261" s="167"/>
      <c r="V261" s="167"/>
      <c r="W261" s="167"/>
    </row>
    <row r="262" spans="1:23" ht="18" x14ac:dyDescent="0.2">
      <c r="A262" s="167"/>
      <c r="B262" s="272"/>
      <c r="C262" s="167"/>
      <c r="D262" s="167"/>
      <c r="E262" s="168"/>
      <c r="F262" s="167"/>
      <c r="G262" s="206"/>
      <c r="H262" s="179"/>
      <c r="I262" s="206"/>
      <c r="J262" s="167"/>
      <c r="L262" s="167"/>
      <c r="M262" s="167"/>
      <c r="N262" s="167"/>
      <c r="O262" s="167"/>
      <c r="P262" s="167"/>
      <c r="Q262" s="167"/>
      <c r="R262" s="167"/>
      <c r="S262" s="167"/>
      <c r="T262" s="167"/>
      <c r="U262" s="167"/>
      <c r="V262" s="167"/>
      <c r="W262" s="167"/>
    </row>
    <row r="263" spans="1:23" ht="18" x14ac:dyDescent="0.2">
      <c r="A263" s="167"/>
      <c r="B263" s="272" t="s">
        <v>680</v>
      </c>
      <c r="C263" s="167"/>
      <c r="D263" s="167"/>
      <c r="E263" s="168"/>
      <c r="F263" s="168">
        <f>J73</f>
        <v>100</v>
      </c>
      <c r="G263" s="206"/>
      <c r="H263" s="179"/>
      <c r="I263" s="206"/>
      <c r="J263" s="167"/>
      <c r="L263" s="167"/>
      <c r="M263" s="167"/>
      <c r="N263" s="167"/>
      <c r="O263" s="167"/>
      <c r="P263" s="167"/>
      <c r="Q263" s="167"/>
      <c r="R263" s="167"/>
      <c r="S263" s="167"/>
      <c r="T263" s="167"/>
      <c r="U263" s="167"/>
      <c r="V263" s="167"/>
      <c r="W263" s="167"/>
    </row>
    <row r="264" spans="1:23" ht="18" x14ac:dyDescent="0.2">
      <c r="A264" s="167"/>
      <c r="B264" s="276"/>
      <c r="C264" s="171"/>
      <c r="D264" s="171"/>
      <c r="E264" s="171"/>
      <c r="F264" s="167"/>
      <c r="G264" s="171"/>
      <c r="H264" s="171"/>
      <c r="I264" s="167"/>
      <c r="J264" s="167"/>
      <c r="L264" s="167"/>
      <c r="M264" s="167"/>
      <c r="N264" s="167"/>
      <c r="O264" s="167"/>
      <c r="P264" s="167"/>
      <c r="Q264" s="167"/>
      <c r="R264" s="167"/>
      <c r="S264" s="167"/>
      <c r="T264" s="167"/>
      <c r="U264" s="167"/>
      <c r="V264" s="167"/>
      <c r="W264" s="167"/>
    </row>
    <row r="265" spans="1:23" ht="18" x14ac:dyDescent="0.2">
      <c r="A265" s="167"/>
      <c r="B265" s="272" t="s">
        <v>682</v>
      </c>
      <c r="C265" s="167"/>
      <c r="D265" s="167"/>
      <c r="E265" s="167"/>
      <c r="F265" s="387">
        <v>2000</v>
      </c>
      <c r="G265" s="167"/>
      <c r="H265" s="167"/>
      <c r="I265" s="167"/>
      <c r="J265" s="167"/>
      <c r="L265" s="167"/>
    </row>
    <row r="266" spans="1:23" ht="18" x14ac:dyDescent="0.2">
      <c r="A266" s="167"/>
      <c r="B266" s="272"/>
      <c r="C266" s="167"/>
      <c r="D266" s="167"/>
      <c r="E266" s="167"/>
      <c r="F266" s="167"/>
      <c r="G266" s="167"/>
      <c r="H266" s="167"/>
      <c r="I266" s="167"/>
      <c r="J266" s="167"/>
      <c r="L266" s="167"/>
    </row>
    <row r="267" spans="1:23" ht="18" x14ac:dyDescent="0.2">
      <c r="A267" s="167"/>
      <c r="B267" s="272" t="s">
        <v>683</v>
      </c>
      <c r="C267" s="167"/>
      <c r="D267" s="167"/>
      <c r="E267" s="167"/>
      <c r="F267" s="387">
        <v>10000</v>
      </c>
      <c r="G267" s="167"/>
      <c r="H267" s="167"/>
      <c r="I267" s="167"/>
      <c r="J267" s="167"/>
      <c r="L267" s="167"/>
    </row>
    <row r="268" spans="1:23" ht="7.5" customHeight="1" x14ac:dyDescent="0.2">
      <c r="A268" s="167"/>
      <c r="B268" s="272"/>
      <c r="C268" s="167"/>
      <c r="D268" s="167"/>
      <c r="E268" s="167"/>
      <c r="F268" s="167"/>
      <c r="G268" s="167"/>
      <c r="H268" s="167"/>
      <c r="I268" s="167"/>
      <c r="J268" s="167"/>
      <c r="L268" s="167"/>
    </row>
    <row r="269" spans="1:23" s="283" customFormat="1" ht="18" x14ac:dyDescent="0.2">
      <c r="A269" s="281"/>
      <c r="B269" s="534" t="s">
        <v>723</v>
      </c>
      <c r="C269" s="534"/>
      <c r="D269" s="534"/>
      <c r="E269" s="534"/>
      <c r="F269" s="406">
        <f>IF(F267-10%*F265&gt;0,F267-10%*F265,0)</f>
        <v>9800</v>
      </c>
      <c r="G269" s="281"/>
      <c r="H269" s="281"/>
      <c r="I269" s="281"/>
      <c r="J269" s="281"/>
      <c r="K269" s="282"/>
      <c r="L269" s="281"/>
      <c r="M269" s="281"/>
      <c r="N269" s="281"/>
      <c r="O269" s="281"/>
      <c r="P269" s="281"/>
      <c r="Q269" s="281"/>
      <c r="R269" s="281"/>
      <c r="S269" s="281"/>
      <c r="T269" s="281"/>
      <c r="U269" s="281"/>
      <c r="V269" s="281"/>
      <c r="W269" s="281"/>
    </row>
    <row r="270" spans="1:23" ht="18" x14ac:dyDescent="0.2">
      <c r="A270" s="167"/>
      <c r="B270" s="167"/>
      <c r="F270" s="167"/>
      <c r="G270" s="167"/>
      <c r="H270" s="167"/>
      <c r="I270" s="167"/>
      <c r="J270" s="167"/>
      <c r="K270" s="168"/>
      <c r="L270" s="167"/>
      <c r="M270" s="167"/>
      <c r="N270" s="167"/>
      <c r="O270" s="167"/>
      <c r="P270" s="167"/>
      <c r="Q270" s="167"/>
      <c r="R270" s="167"/>
      <c r="S270" s="167"/>
      <c r="T270" s="167"/>
      <c r="U270" s="167"/>
      <c r="V270" s="167"/>
      <c r="W270" s="167"/>
    </row>
    <row r="271" spans="1:23" ht="18" x14ac:dyDescent="0.2">
      <c r="A271" s="167"/>
      <c r="B271" s="167"/>
      <c r="F271" s="167"/>
      <c r="G271" s="167"/>
      <c r="H271" s="167"/>
      <c r="I271" s="167"/>
      <c r="J271" s="167"/>
      <c r="K271" s="168"/>
      <c r="L271" s="167"/>
      <c r="M271" s="167"/>
      <c r="N271" s="167"/>
      <c r="O271" s="167"/>
      <c r="P271" s="167"/>
      <c r="Q271" s="167"/>
      <c r="R271" s="167"/>
      <c r="S271" s="167"/>
      <c r="T271" s="167"/>
      <c r="U271" s="167"/>
      <c r="V271" s="167"/>
      <c r="W271" s="167"/>
    </row>
    <row r="272" spans="1:23" ht="18" x14ac:dyDescent="0.2">
      <c r="A272" s="167"/>
      <c r="B272" s="167"/>
      <c r="F272" s="167"/>
      <c r="G272" s="167"/>
      <c r="H272" s="167"/>
      <c r="I272" s="167"/>
      <c r="J272" s="167"/>
      <c r="K272" s="168"/>
      <c r="L272" s="167"/>
      <c r="M272" s="167"/>
      <c r="N272" s="167"/>
      <c r="O272" s="167"/>
      <c r="P272" s="167"/>
      <c r="Q272" s="167"/>
      <c r="R272" s="167"/>
      <c r="S272" s="167"/>
      <c r="T272" s="167"/>
      <c r="U272" s="167"/>
      <c r="V272" s="167"/>
      <c r="W272" s="167"/>
    </row>
    <row r="273" spans="1:23" ht="18" x14ac:dyDescent="0.2">
      <c r="A273" s="167"/>
      <c r="C273" s="173"/>
      <c r="D273" s="532" t="s">
        <v>631</v>
      </c>
      <c r="E273" s="532"/>
      <c r="F273" s="532"/>
      <c r="G273" s="532"/>
      <c r="H273" s="532"/>
      <c r="I273" s="532"/>
      <c r="J273" s="532"/>
      <c r="K273" s="175"/>
      <c r="L273" s="175"/>
      <c r="M273" s="167"/>
      <c r="N273" s="167"/>
      <c r="O273" s="167"/>
      <c r="P273" s="167"/>
      <c r="Q273" s="167"/>
      <c r="R273" s="167"/>
      <c r="S273" s="167"/>
      <c r="T273" s="167"/>
      <c r="U273" s="167"/>
      <c r="V273" s="167"/>
      <c r="W273" s="167"/>
    </row>
    <row r="274" spans="1:23" ht="18" x14ac:dyDescent="0.2">
      <c r="A274" s="167"/>
      <c r="B274" s="173"/>
      <c r="C274" s="173"/>
      <c r="D274" s="173"/>
      <c r="E274" s="173"/>
      <c r="F274" s="173"/>
      <c r="G274" s="173"/>
      <c r="H274" s="173"/>
      <c r="I274" s="173"/>
      <c r="J274" s="175"/>
      <c r="K274" s="175"/>
      <c r="L274" s="175"/>
      <c r="M274" s="167"/>
      <c r="N274" s="167"/>
      <c r="O274" s="167"/>
      <c r="P274" s="167"/>
      <c r="Q274" s="167"/>
      <c r="R274" s="167"/>
      <c r="S274" s="167"/>
      <c r="T274" s="167"/>
      <c r="U274" s="167"/>
      <c r="V274" s="167"/>
      <c r="W274" s="167"/>
    </row>
    <row r="275" spans="1:23" ht="18" x14ac:dyDescent="0.2">
      <c r="A275" s="167"/>
      <c r="B275" s="173"/>
      <c r="C275" s="173"/>
      <c r="D275" s="173"/>
      <c r="E275" s="173"/>
      <c r="F275" s="173"/>
      <c r="G275" s="173"/>
      <c r="H275" s="173"/>
      <c r="I275" s="173"/>
      <c r="J275" s="175"/>
      <c r="K275" s="175"/>
      <c r="L275" s="175"/>
      <c r="M275" s="167"/>
      <c r="N275" s="167"/>
      <c r="O275" s="167"/>
      <c r="P275" s="167"/>
      <c r="Q275" s="167"/>
      <c r="R275" s="167"/>
      <c r="S275" s="167"/>
      <c r="T275" s="167"/>
      <c r="U275" s="167"/>
      <c r="V275" s="167"/>
      <c r="W275" s="167"/>
    </row>
    <row r="276" spans="1:23" ht="18" x14ac:dyDescent="0.2">
      <c r="A276" s="167"/>
      <c r="B276" s="167"/>
      <c r="C276" s="171" t="s">
        <v>622</v>
      </c>
      <c r="D276" s="167"/>
      <c r="E276" s="167"/>
      <c r="F276" s="167"/>
      <c r="G276" s="167"/>
      <c r="H276" s="207"/>
      <c r="I276" s="167"/>
      <c r="J276" s="167"/>
      <c r="K276" s="195"/>
      <c r="L276" s="167"/>
      <c r="M276" s="167"/>
      <c r="N276" s="167"/>
      <c r="O276" s="167"/>
      <c r="P276" s="167"/>
      <c r="Q276" s="167"/>
      <c r="R276" s="167"/>
      <c r="S276" s="167"/>
      <c r="T276" s="167"/>
      <c r="U276" s="167"/>
      <c r="V276" s="167"/>
      <c r="W276" s="167"/>
    </row>
    <row r="277" spans="1:23" ht="18" x14ac:dyDescent="0.2">
      <c r="A277" s="167"/>
      <c r="B277" s="167"/>
      <c r="D277" s="171"/>
      <c r="E277" s="171"/>
      <c r="F277" s="167"/>
      <c r="G277" s="167"/>
      <c r="H277" s="207"/>
      <c r="I277" s="167"/>
      <c r="J277" s="167"/>
      <c r="K277" s="167"/>
      <c r="L277" s="167"/>
      <c r="M277" s="167"/>
      <c r="N277" s="167"/>
      <c r="O277" s="167"/>
      <c r="P277" s="167"/>
      <c r="Q277" s="167"/>
      <c r="R277" s="167"/>
      <c r="S277" s="167"/>
      <c r="T277" s="167"/>
      <c r="U277" s="167"/>
      <c r="V277" s="167"/>
      <c r="W277" s="167"/>
    </row>
    <row r="278" spans="1:23" ht="18" x14ac:dyDescent="0.2">
      <c r="A278" s="167"/>
      <c r="C278" s="608" t="s">
        <v>164</v>
      </c>
      <c r="D278" s="608"/>
      <c r="E278" s="177">
        <f ca="1">'ch gerant soc '!B42</f>
        <v>16264.391221125174</v>
      </c>
      <c r="F278" s="196"/>
      <c r="G278" s="196"/>
      <c r="H278" s="196"/>
      <c r="I278" s="167"/>
      <c r="J278" s="167"/>
      <c r="K278" s="167"/>
      <c r="L278" s="167"/>
      <c r="M278" s="167"/>
      <c r="N278" s="167"/>
      <c r="O278" s="167"/>
      <c r="P278" s="167"/>
      <c r="Q278" s="167"/>
      <c r="R278" s="167"/>
      <c r="S278" s="167"/>
      <c r="T278" s="167"/>
      <c r="U278" s="167"/>
      <c r="V278" s="167"/>
      <c r="W278" s="167"/>
    </row>
    <row r="279" spans="1:23" ht="18" x14ac:dyDescent="0.2">
      <c r="A279" s="196"/>
      <c r="C279" s="408"/>
      <c r="D279" s="408"/>
      <c r="E279" s="196"/>
      <c r="F279" s="196"/>
      <c r="G279" s="196"/>
      <c r="H279" s="196"/>
      <c r="I279" s="167"/>
      <c r="J279" s="167"/>
      <c r="K279" s="167"/>
      <c r="L279" s="167"/>
      <c r="M279" s="167"/>
      <c r="N279" s="167"/>
      <c r="O279" s="167"/>
      <c r="P279" s="167"/>
      <c r="Q279" s="167"/>
      <c r="R279" s="167"/>
      <c r="S279" s="167"/>
      <c r="T279" s="167"/>
      <c r="U279" s="167"/>
      <c r="V279" s="167"/>
      <c r="W279" s="167"/>
    </row>
    <row r="280" spans="1:23" ht="18" customHeight="1" x14ac:dyDescent="0.2">
      <c r="A280" s="167"/>
      <c r="C280" s="608" t="str">
        <f ca="1">CONCATENATE("RETRAITE (",'ch gerant soc '!G39,")")</f>
        <v>RETRAITE (CAVEC)</v>
      </c>
      <c r="D280" s="608"/>
      <c r="E280" s="177">
        <f ca="1">+'ch gerant soc '!E39</f>
        <v>17569.335612098133</v>
      </c>
      <c r="F280" s="196"/>
      <c r="G280" s="196"/>
      <c r="H280" s="196"/>
      <c r="I280" s="167"/>
      <c r="J280" s="167"/>
      <c r="K280" s="167"/>
      <c r="L280" s="167"/>
      <c r="M280" s="167"/>
      <c r="N280" s="167"/>
      <c r="O280" s="167"/>
      <c r="P280" s="167"/>
      <c r="Q280" s="167"/>
      <c r="R280" s="167"/>
      <c r="S280" s="167"/>
      <c r="T280" s="167"/>
      <c r="U280" s="167"/>
      <c r="V280" s="167"/>
      <c r="W280" s="167"/>
    </row>
    <row r="281" spans="1:23" ht="18" x14ac:dyDescent="0.2">
      <c r="A281" s="196"/>
      <c r="C281" s="407"/>
      <c r="D281" s="407"/>
      <c r="E281" s="196"/>
      <c r="F281" s="196"/>
      <c r="G281" s="196"/>
      <c r="H281" s="196"/>
      <c r="I281" s="167"/>
      <c r="J281" s="167"/>
      <c r="K281" s="167"/>
      <c r="L281" s="167"/>
      <c r="M281" s="167"/>
      <c r="N281" s="167"/>
      <c r="O281" s="167"/>
      <c r="P281" s="167"/>
      <c r="Q281" s="167"/>
      <c r="R281" s="167"/>
      <c r="S281" s="167"/>
      <c r="T281" s="167"/>
      <c r="U281" s="167"/>
      <c r="V281" s="167"/>
      <c r="W281" s="167"/>
    </row>
    <row r="282" spans="1:23" ht="18" customHeight="1" x14ac:dyDescent="0.2">
      <c r="A282" s="167"/>
      <c r="C282" s="608" t="s">
        <v>675</v>
      </c>
      <c r="D282" s="608"/>
      <c r="E282" s="177">
        <f ca="1">'ch gerant soc '!B58</f>
        <v>6310.837319611871</v>
      </c>
      <c r="F282" s="196"/>
      <c r="G282" s="196"/>
      <c r="H282" s="196"/>
      <c r="I282" s="167"/>
      <c r="J282" s="167"/>
      <c r="K282" s="167"/>
      <c r="L282" s="167"/>
      <c r="M282" s="167"/>
      <c r="N282" s="167"/>
      <c r="O282" s="167"/>
      <c r="P282" s="167"/>
      <c r="Q282" s="167"/>
      <c r="R282" s="167"/>
      <c r="S282" s="167"/>
      <c r="T282" s="167"/>
      <c r="U282" s="167"/>
      <c r="V282" s="167"/>
      <c r="W282" s="167"/>
    </row>
    <row r="283" spans="1:23" ht="18" x14ac:dyDescent="0.2">
      <c r="A283" s="196"/>
      <c r="C283" s="371"/>
      <c r="D283" s="371"/>
      <c r="E283" s="196"/>
      <c r="F283" s="196"/>
      <c r="G283" s="196"/>
      <c r="H283" s="196"/>
      <c r="I283" s="167"/>
      <c r="J283" s="167"/>
      <c r="K283" s="167"/>
      <c r="L283" s="167"/>
      <c r="M283" s="167"/>
      <c r="N283" s="167"/>
      <c r="O283" s="167"/>
      <c r="P283" s="167"/>
      <c r="Q283" s="167"/>
      <c r="R283" s="167"/>
      <c r="S283" s="167"/>
      <c r="T283" s="167"/>
      <c r="U283" s="167"/>
      <c r="V283" s="167"/>
      <c r="W283" s="167"/>
    </row>
    <row r="284" spans="1:23" ht="18" customHeight="1" x14ac:dyDescent="0.2">
      <c r="A284" s="167"/>
      <c r="C284" s="555" t="s">
        <v>44</v>
      </c>
      <c r="D284" s="555"/>
      <c r="E284" s="266">
        <f ca="1">SUM(E278:E282)</f>
        <v>40144.564152835177</v>
      </c>
      <c r="F284" s="196"/>
      <c r="G284" s="196"/>
      <c r="H284" s="196"/>
      <c r="I284" s="167"/>
      <c r="J284" s="167"/>
      <c r="K284" s="167"/>
      <c r="L284" s="167"/>
      <c r="M284" s="167"/>
      <c r="N284" s="167"/>
      <c r="O284" s="167"/>
      <c r="P284" s="167"/>
      <c r="Q284" s="167"/>
      <c r="R284" s="167"/>
      <c r="S284" s="167"/>
      <c r="T284" s="167"/>
      <c r="U284" s="167"/>
      <c r="V284" s="167"/>
      <c r="W284" s="167"/>
    </row>
    <row r="285" spans="1:23" ht="24" customHeight="1" x14ac:dyDescent="0.2">
      <c r="A285" s="167"/>
      <c r="C285" s="177"/>
      <c r="D285" s="177"/>
      <c r="E285" s="177" t="s">
        <v>18</v>
      </c>
      <c r="F285" s="196">
        <f ca="1">'ch gerant soc '!C61</f>
        <v>10630.577030293969</v>
      </c>
      <c r="G285" s="196" t="s">
        <v>142</v>
      </c>
      <c r="H285" s="196">
        <f ca="1">'ch gerant soc '!C62</f>
        <v>6776.9928568124051</v>
      </c>
      <c r="I285" s="167"/>
      <c r="J285" s="167"/>
      <c r="K285" s="167"/>
      <c r="L285" s="167"/>
      <c r="M285" s="167"/>
      <c r="N285" s="167"/>
      <c r="O285" s="167"/>
      <c r="P285" s="167"/>
      <c r="Q285" s="167"/>
      <c r="R285" s="167"/>
      <c r="S285" s="167"/>
      <c r="T285" s="167"/>
      <c r="U285" s="167"/>
      <c r="V285" s="167"/>
      <c r="W285" s="167"/>
    </row>
    <row r="286" spans="1:23" ht="24" customHeight="1" x14ac:dyDescent="0.2">
      <c r="A286" s="167"/>
      <c r="C286" s="196"/>
      <c r="D286" s="196"/>
      <c r="E286" s="177"/>
      <c r="F286" s="196"/>
      <c r="G286" s="196" t="s">
        <v>5</v>
      </c>
      <c r="H286" s="196">
        <f ca="1">'ch gerant soc '!C63</f>
        <v>3853.5841734815635</v>
      </c>
      <c r="I286" s="167"/>
      <c r="J286" s="167"/>
      <c r="K286" s="167"/>
      <c r="L286" s="167"/>
      <c r="M286" s="167"/>
      <c r="N286" s="167"/>
      <c r="O286" s="167"/>
      <c r="P286" s="167"/>
      <c r="Q286" s="167"/>
      <c r="R286" s="167"/>
      <c r="S286" s="167"/>
      <c r="T286" s="167"/>
      <c r="U286" s="167"/>
      <c r="V286" s="167"/>
      <c r="W286" s="167"/>
    </row>
    <row r="287" spans="1:23" ht="18" x14ac:dyDescent="0.2">
      <c r="H287" s="167"/>
      <c r="I287" s="167"/>
      <c r="J287" s="167"/>
      <c r="K287" s="167"/>
      <c r="L287" s="167"/>
      <c r="M287" s="167"/>
      <c r="N287" s="167"/>
      <c r="O287" s="167"/>
      <c r="P287" s="167"/>
      <c r="Q287" s="167"/>
      <c r="R287" s="167"/>
      <c r="S287" s="167"/>
      <c r="T287" s="167"/>
      <c r="U287" s="167"/>
      <c r="V287" s="167"/>
      <c r="W287" s="167"/>
    </row>
    <row r="288" spans="1:23" ht="18" x14ac:dyDescent="0.2">
      <c r="H288" s="167"/>
      <c r="I288" s="167"/>
      <c r="J288" s="167"/>
      <c r="K288" s="167"/>
      <c r="L288" s="167"/>
      <c r="M288" s="167"/>
      <c r="N288" s="167"/>
      <c r="O288" s="167"/>
      <c r="P288" s="167"/>
      <c r="Q288" s="167"/>
      <c r="R288" s="167"/>
      <c r="S288" s="167"/>
      <c r="T288" s="167"/>
      <c r="U288" s="167"/>
      <c r="V288" s="167"/>
      <c r="W288" s="167"/>
    </row>
    <row r="289" spans="1:23" ht="18" x14ac:dyDescent="0.2">
      <c r="A289" s="167"/>
      <c r="I289" s="167"/>
      <c r="J289" s="167"/>
      <c r="K289" s="167"/>
      <c r="L289" s="167"/>
      <c r="M289" s="167"/>
      <c r="N289" s="167"/>
      <c r="O289" s="167"/>
      <c r="P289" s="167"/>
      <c r="Q289" s="167"/>
      <c r="R289" s="167"/>
      <c r="S289" s="167"/>
      <c r="T289" s="167"/>
      <c r="U289" s="167"/>
      <c r="V289" s="167"/>
      <c r="W289" s="167"/>
    </row>
    <row r="290" spans="1:23" ht="18" x14ac:dyDescent="0.2">
      <c r="A290" s="167"/>
      <c r="C290" s="173"/>
      <c r="D290" s="532" t="s">
        <v>632</v>
      </c>
      <c r="E290" s="532"/>
      <c r="F290" s="532"/>
      <c r="G290" s="532"/>
      <c r="H290" s="532"/>
      <c r="I290" s="532"/>
      <c r="J290" s="532"/>
      <c r="K290" s="175"/>
      <c r="L290" s="175"/>
      <c r="M290" s="167"/>
      <c r="N290" s="167"/>
      <c r="O290" s="167"/>
      <c r="P290" s="167"/>
      <c r="Q290" s="167"/>
      <c r="R290" s="167"/>
      <c r="S290" s="167"/>
      <c r="T290" s="167"/>
      <c r="U290" s="167"/>
      <c r="V290" s="167"/>
      <c r="W290" s="167"/>
    </row>
    <row r="291" spans="1:23" ht="18" customHeight="1" x14ac:dyDescent="0.2">
      <c r="A291" s="167"/>
      <c r="C291" s="233"/>
      <c r="D291" s="233"/>
      <c r="I291" s="167"/>
      <c r="J291" s="167"/>
      <c r="K291" s="167"/>
      <c r="L291" s="167"/>
      <c r="M291" s="167"/>
      <c r="N291" s="167"/>
      <c r="O291" s="167"/>
      <c r="P291" s="167"/>
      <c r="Q291" s="167"/>
      <c r="R291" s="167"/>
      <c r="S291" s="167"/>
      <c r="T291" s="167"/>
      <c r="U291" s="167"/>
      <c r="V291" s="167"/>
      <c r="W291" s="167"/>
    </row>
    <row r="292" spans="1:23" ht="18" x14ac:dyDescent="0.2">
      <c r="A292" s="167"/>
      <c r="B292" s="284" t="s">
        <v>685</v>
      </c>
      <c r="C292" s="233"/>
      <c r="D292" s="233"/>
      <c r="I292" s="167"/>
      <c r="J292" s="167"/>
      <c r="K292" s="167"/>
      <c r="L292" s="167"/>
      <c r="M292" s="167"/>
      <c r="N292" s="167"/>
      <c r="O292" s="167"/>
      <c r="P292" s="167"/>
      <c r="Q292" s="167"/>
      <c r="R292" s="167"/>
      <c r="S292" s="167"/>
      <c r="T292" s="167"/>
      <c r="U292" s="167"/>
      <c r="V292" s="167"/>
      <c r="W292" s="167"/>
    </row>
    <row r="293" spans="1:23" ht="18" x14ac:dyDescent="0.2">
      <c r="A293" s="167"/>
      <c r="B293" s="233"/>
      <c r="C293" s="233"/>
      <c r="D293" s="233"/>
      <c r="E293" s="171"/>
      <c r="F293" s="167"/>
      <c r="G293" s="167"/>
      <c r="H293" s="167"/>
      <c r="I293" s="167"/>
      <c r="J293" s="167"/>
      <c r="K293" s="167"/>
      <c r="L293" s="167"/>
      <c r="M293" s="167"/>
      <c r="N293" s="167"/>
      <c r="O293" s="167"/>
      <c r="P293" s="167"/>
      <c r="Q293" s="167"/>
      <c r="R293" s="167"/>
      <c r="S293" s="167"/>
      <c r="T293" s="167"/>
      <c r="U293" s="167"/>
      <c r="V293" s="167"/>
      <c r="W293" s="167"/>
    </row>
    <row r="294" spans="1:23" ht="21" customHeight="1" x14ac:dyDescent="0.35">
      <c r="A294" s="208"/>
      <c r="B294" s="208"/>
      <c r="C294" s="531" t="s">
        <v>671</v>
      </c>
      <c r="D294" s="531"/>
      <c r="E294" s="531"/>
      <c r="F294" s="531"/>
      <c r="G294" s="531"/>
      <c r="H294" s="531"/>
      <c r="I294" s="209"/>
      <c r="J294" s="209"/>
      <c r="K294" s="167"/>
      <c r="L294" s="167"/>
      <c r="M294" s="167"/>
      <c r="N294" s="167"/>
      <c r="O294" s="167"/>
      <c r="P294" s="167"/>
      <c r="Q294" s="167"/>
      <c r="R294" s="167"/>
      <c r="S294" s="167"/>
      <c r="T294" s="167"/>
      <c r="U294" s="167"/>
      <c r="V294" s="167"/>
      <c r="W294" s="167"/>
    </row>
    <row r="295" spans="1:23" ht="18" x14ac:dyDescent="0.2">
      <c r="A295" s="210"/>
      <c r="B295" s="210"/>
      <c r="C295" s="210"/>
      <c r="D295" s="211" t="s">
        <v>399</v>
      </c>
      <c r="E295" s="212"/>
      <c r="F295" s="212"/>
      <c r="G295" s="212"/>
      <c r="H295" s="212"/>
      <c r="I295" s="212"/>
      <c r="J295" s="228" t="s">
        <v>684</v>
      </c>
      <c r="K295" s="167"/>
      <c r="L295" s="167"/>
      <c r="M295" s="167"/>
      <c r="N295" s="167"/>
      <c r="O295" s="167"/>
      <c r="P295" s="167"/>
      <c r="Q295" s="167"/>
      <c r="R295" s="167"/>
      <c r="S295" s="167"/>
      <c r="T295" s="167"/>
      <c r="U295" s="167"/>
      <c r="V295" s="167"/>
      <c r="W295" s="167"/>
    </row>
    <row r="296" spans="1:23" ht="18.75" thickBot="1" x14ac:dyDescent="0.25">
      <c r="A296" s="214"/>
      <c r="B296" s="214"/>
      <c r="C296" s="214"/>
      <c r="D296" s="214"/>
      <c r="E296" s="214"/>
      <c r="F296" s="214"/>
      <c r="G296" s="214"/>
      <c r="H296" s="214"/>
      <c r="I296" s="214"/>
      <c r="J296" s="214"/>
      <c r="K296" s="167"/>
      <c r="L296" s="167"/>
      <c r="M296" s="167"/>
      <c r="N296" s="167"/>
      <c r="O296" s="167"/>
      <c r="P296" s="167"/>
      <c r="Q296" s="167"/>
      <c r="R296" s="167"/>
      <c r="S296" s="167"/>
      <c r="T296" s="167"/>
      <c r="U296" s="167"/>
      <c r="V296" s="167"/>
      <c r="W296" s="167"/>
    </row>
    <row r="297" spans="1:23" ht="29.1" customHeight="1" x14ac:dyDescent="0.2">
      <c r="A297" s="523" t="s">
        <v>400</v>
      </c>
      <c r="B297" s="524"/>
      <c r="C297" s="524"/>
      <c r="D297" s="524"/>
      <c r="E297" s="409" t="s">
        <v>646</v>
      </c>
      <c r="F297" s="519" t="str">
        <f>Médecin</f>
        <v>Expert comptable- commissaire aux comptes</v>
      </c>
      <c r="G297" s="519"/>
      <c r="H297" s="519"/>
      <c r="I297" s="369"/>
      <c r="J297" s="215"/>
      <c r="K297" s="167"/>
      <c r="L297" s="167"/>
      <c r="M297" s="167"/>
      <c r="N297" s="167"/>
      <c r="O297" s="167"/>
      <c r="P297" s="167"/>
      <c r="Q297" s="167"/>
      <c r="R297" s="167"/>
      <c r="S297" s="167"/>
      <c r="T297" s="167"/>
      <c r="U297" s="167"/>
      <c r="V297" s="167"/>
      <c r="W297" s="167"/>
    </row>
    <row r="298" spans="1:23" ht="18" x14ac:dyDescent="0.2">
      <c r="A298" s="216"/>
      <c r="B298" s="210"/>
      <c r="C298" s="210"/>
      <c r="D298" s="217"/>
      <c r="E298" s="541" t="s">
        <v>401</v>
      </c>
      <c r="F298" s="542"/>
      <c r="G298" s="542"/>
      <c r="H298" s="542"/>
      <c r="I298" s="542"/>
      <c r="J298" s="543"/>
      <c r="K298" s="167"/>
      <c r="L298" s="167"/>
      <c r="M298" s="167"/>
      <c r="N298" s="167"/>
      <c r="O298" s="167"/>
      <c r="P298" s="167"/>
      <c r="Q298" s="167"/>
      <c r="R298" s="167"/>
      <c r="S298" s="167"/>
      <c r="T298" s="167"/>
      <c r="U298" s="167"/>
      <c r="V298" s="167"/>
      <c r="W298" s="167"/>
    </row>
    <row r="299" spans="1:23" ht="18.75" thickBot="1" x14ac:dyDescent="0.25">
      <c r="A299" s="218"/>
      <c r="B299" s="370"/>
      <c r="C299" s="370"/>
      <c r="D299" s="219"/>
      <c r="E299" s="535" t="s">
        <v>402</v>
      </c>
      <c r="F299" s="536"/>
      <c r="G299" s="544" t="s">
        <v>403</v>
      </c>
      <c r="H299" s="536"/>
      <c r="I299" s="545" t="s">
        <v>404</v>
      </c>
      <c r="J299" s="546"/>
      <c r="K299" s="167"/>
      <c r="L299" s="167"/>
      <c r="M299" s="167"/>
      <c r="N299" s="167"/>
      <c r="O299" s="167"/>
      <c r="P299" s="167"/>
      <c r="Q299" s="167"/>
      <c r="R299" s="167"/>
      <c r="S299" s="167"/>
      <c r="T299" s="167"/>
      <c r="U299" s="167"/>
      <c r="V299" s="167"/>
      <c r="W299" s="167"/>
    </row>
    <row r="300" spans="1:23" ht="18" x14ac:dyDescent="0.2">
      <c r="A300" s="507" t="s">
        <v>405</v>
      </c>
      <c r="B300" s="515" t="s">
        <v>406</v>
      </c>
      <c r="C300" s="516"/>
      <c r="D300" s="517"/>
      <c r="E300" s="410" t="s">
        <v>407</v>
      </c>
      <c r="F300" s="411"/>
      <c r="G300" s="412" t="s">
        <v>408</v>
      </c>
      <c r="H300" s="413"/>
      <c r="I300" s="410" t="s">
        <v>409</v>
      </c>
      <c r="J300" s="414">
        <f>F300+H300</f>
        <v>0</v>
      </c>
      <c r="K300" s="167"/>
      <c r="L300" s="167"/>
      <c r="M300" s="167"/>
      <c r="N300" s="167"/>
      <c r="O300" s="167"/>
      <c r="P300" s="167"/>
      <c r="Q300" s="167"/>
      <c r="R300" s="167"/>
      <c r="S300" s="167"/>
      <c r="T300" s="167"/>
      <c r="U300" s="167"/>
      <c r="V300" s="167"/>
      <c r="W300" s="167"/>
    </row>
    <row r="301" spans="1:23" ht="18" x14ac:dyDescent="0.2">
      <c r="A301" s="508"/>
      <c r="B301" s="415" t="s">
        <v>729</v>
      </c>
      <c r="C301" s="220"/>
      <c r="D301" s="220" t="s">
        <v>730</v>
      </c>
      <c r="E301" s="416" t="s">
        <v>410</v>
      </c>
      <c r="F301" s="417"/>
      <c r="G301" s="418" t="s">
        <v>411</v>
      </c>
      <c r="H301" s="419"/>
      <c r="I301" s="416" t="s">
        <v>412</v>
      </c>
      <c r="J301" s="420">
        <f>F301+H301</f>
        <v>0</v>
      </c>
      <c r="K301" s="167"/>
      <c r="L301" s="167"/>
      <c r="M301" s="167"/>
      <c r="N301" s="167"/>
      <c r="O301" s="167"/>
      <c r="P301" s="167"/>
      <c r="Q301" s="167"/>
      <c r="R301" s="167"/>
      <c r="S301" s="167"/>
      <c r="T301" s="167"/>
      <c r="U301" s="167"/>
      <c r="V301" s="167"/>
      <c r="W301" s="167"/>
    </row>
    <row r="302" spans="1:23" ht="18" x14ac:dyDescent="0.2">
      <c r="A302" s="508"/>
      <c r="B302" s="421"/>
      <c r="C302" s="220"/>
      <c r="D302" s="220" t="s">
        <v>731</v>
      </c>
      <c r="E302" s="416" t="s">
        <v>413</v>
      </c>
      <c r="F302" s="422"/>
      <c r="G302" s="418" t="s">
        <v>414</v>
      </c>
      <c r="H302" s="422"/>
      <c r="I302" s="416" t="s">
        <v>415</v>
      </c>
      <c r="J302" s="423">
        <f>L50</f>
        <v>240000</v>
      </c>
      <c r="K302" s="167"/>
      <c r="L302" s="167"/>
      <c r="M302" s="167"/>
      <c r="N302" s="167"/>
      <c r="O302" s="167"/>
      <c r="P302" s="167"/>
      <c r="Q302" s="167"/>
      <c r="R302" s="167"/>
      <c r="S302" s="167"/>
      <c r="T302" s="167"/>
      <c r="U302" s="167"/>
      <c r="V302" s="167"/>
      <c r="W302" s="167"/>
    </row>
    <row r="303" spans="1:23" ht="18.75" thickBot="1" x14ac:dyDescent="0.25">
      <c r="A303" s="508"/>
      <c r="B303" s="547" t="s">
        <v>416</v>
      </c>
      <c r="C303" s="548"/>
      <c r="D303" s="549"/>
      <c r="E303" s="424" t="s">
        <v>417</v>
      </c>
      <c r="F303" s="425">
        <f>SUM(F300:F302)</f>
        <v>0</v>
      </c>
      <c r="G303" s="426" t="s">
        <v>418</v>
      </c>
      <c r="H303" s="425">
        <f>SUM(H300:H302)</f>
        <v>0</v>
      </c>
      <c r="I303" s="416" t="s">
        <v>419</v>
      </c>
      <c r="J303" s="427">
        <f>SUM(J300:J302)</f>
        <v>240000</v>
      </c>
      <c r="K303" s="167"/>
      <c r="L303" s="167"/>
      <c r="M303" s="167"/>
      <c r="N303" s="167"/>
      <c r="O303" s="167"/>
      <c r="P303" s="167"/>
      <c r="Q303" s="167"/>
      <c r="R303" s="167"/>
      <c r="S303" s="167"/>
      <c r="T303" s="167"/>
      <c r="U303" s="167"/>
      <c r="V303" s="167"/>
      <c r="W303" s="167"/>
    </row>
    <row r="304" spans="1:23" ht="18" x14ac:dyDescent="0.2">
      <c r="A304" s="508"/>
      <c r="B304" s="368" t="s">
        <v>420</v>
      </c>
      <c r="C304" s="367"/>
      <c r="D304" s="367"/>
      <c r="E304" s="367"/>
      <c r="F304" s="367"/>
      <c r="G304" s="367"/>
      <c r="H304" s="221"/>
      <c r="I304" s="416" t="s">
        <v>421</v>
      </c>
      <c r="J304" s="428"/>
      <c r="K304" s="167"/>
      <c r="L304" s="167"/>
      <c r="M304" s="167"/>
      <c r="N304" s="167"/>
      <c r="O304" s="167"/>
      <c r="P304" s="167"/>
      <c r="Q304" s="167"/>
      <c r="R304" s="167"/>
      <c r="S304" s="167"/>
      <c r="T304" s="167"/>
      <c r="U304" s="167"/>
      <c r="V304" s="167"/>
      <c r="W304" s="167"/>
    </row>
    <row r="305" spans="1:24" ht="18" x14ac:dyDescent="0.2">
      <c r="A305" s="508"/>
      <c r="B305" s="429" t="s">
        <v>422</v>
      </c>
      <c r="C305" s="222"/>
      <c r="D305" s="222"/>
      <c r="E305" s="222"/>
      <c r="F305" s="222"/>
      <c r="G305" s="222"/>
      <c r="H305" s="223"/>
      <c r="I305" s="416" t="s">
        <v>423</v>
      </c>
      <c r="J305" s="428"/>
      <c r="K305" s="167"/>
      <c r="L305" s="167"/>
      <c r="M305" s="167"/>
      <c r="N305" s="167"/>
      <c r="O305" s="167"/>
      <c r="P305" s="167"/>
      <c r="Q305" s="167"/>
      <c r="R305" s="167"/>
      <c r="S305" s="167"/>
      <c r="T305" s="167"/>
      <c r="U305" s="167"/>
      <c r="V305" s="167"/>
      <c r="W305" s="167"/>
    </row>
    <row r="306" spans="1:24" ht="21" x14ac:dyDescent="0.35">
      <c r="A306" s="508"/>
      <c r="B306" s="429" t="s">
        <v>424</v>
      </c>
      <c r="C306" s="222"/>
      <c r="D306" s="222"/>
      <c r="E306" s="222"/>
      <c r="F306" s="222"/>
      <c r="G306" s="222"/>
      <c r="H306" s="223"/>
      <c r="I306" s="416" t="s">
        <v>425</v>
      </c>
      <c r="J306" s="428"/>
      <c r="K306" s="209"/>
      <c r="L306" s="220"/>
      <c r="M306" s="167"/>
      <c r="N306" s="167"/>
      <c r="O306" s="167"/>
      <c r="P306" s="167"/>
      <c r="Q306" s="167"/>
      <c r="R306" s="167"/>
      <c r="S306" s="167"/>
      <c r="T306" s="167"/>
      <c r="U306" s="167"/>
      <c r="V306" s="167"/>
      <c r="W306" s="167"/>
    </row>
    <row r="307" spans="1:24" ht="18" x14ac:dyDescent="0.2">
      <c r="A307" s="508"/>
      <c r="B307" s="429" t="s">
        <v>426</v>
      </c>
      <c r="C307" s="222"/>
      <c r="D307" s="222"/>
      <c r="E307" s="222"/>
      <c r="F307" s="222"/>
      <c r="G307" s="222"/>
      <c r="H307" s="223"/>
      <c r="I307" s="416" t="s">
        <v>427</v>
      </c>
      <c r="J307" s="428"/>
      <c r="K307" s="213"/>
      <c r="L307" s="220"/>
      <c r="M307" s="167"/>
      <c r="N307" s="167"/>
      <c r="O307" s="167"/>
      <c r="P307" s="167"/>
      <c r="Q307" s="167"/>
      <c r="R307" s="167"/>
      <c r="S307" s="167"/>
      <c r="T307" s="167"/>
      <c r="U307" s="167"/>
      <c r="V307" s="167"/>
      <c r="W307" s="167"/>
    </row>
    <row r="308" spans="1:24" ht="18" x14ac:dyDescent="0.2">
      <c r="A308" s="508"/>
      <c r="B308" s="430" t="s">
        <v>428</v>
      </c>
      <c r="C308" s="224"/>
      <c r="D308" s="224"/>
      <c r="E308" s="224"/>
      <c r="F308" s="224"/>
      <c r="G308" s="224"/>
      <c r="H308" s="225"/>
      <c r="I308" s="416" t="s">
        <v>429</v>
      </c>
      <c r="J308" s="431">
        <f>L52</f>
        <v>0</v>
      </c>
      <c r="K308" s="210"/>
      <c r="L308" s="220"/>
      <c r="M308" s="167"/>
      <c r="N308" s="167"/>
      <c r="O308" s="167"/>
      <c r="P308" s="167"/>
      <c r="Q308" s="167"/>
      <c r="R308" s="167"/>
      <c r="S308" s="167"/>
      <c r="T308" s="167"/>
      <c r="U308" s="167"/>
      <c r="V308" s="167"/>
      <c r="W308" s="167"/>
    </row>
    <row r="309" spans="1:24" ht="18" x14ac:dyDescent="0.2">
      <c r="A309" s="509"/>
      <c r="B309" s="432" t="s">
        <v>430</v>
      </c>
      <c r="C309" s="226"/>
      <c r="D309" s="226"/>
      <c r="E309" s="226"/>
      <c r="F309" s="226"/>
      <c r="G309" s="226"/>
      <c r="H309" s="227"/>
      <c r="I309" s="416" t="s">
        <v>431</v>
      </c>
      <c r="J309" s="433">
        <f>SUM(J303:J308)</f>
        <v>240000</v>
      </c>
      <c r="K309" s="228"/>
      <c r="L309" s="220"/>
      <c r="M309" s="167"/>
      <c r="N309" s="167"/>
      <c r="O309" s="167"/>
      <c r="P309" s="167"/>
      <c r="Q309" s="167"/>
      <c r="R309" s="167"/>
      <c r="S309" s="167"/>
      <c r="T309" s="167"/>
      <c r="U309" s="167"/>
      <c r="V309" s="167"/>
      <c r="W309" s="167"/>
    </row>
    <row r="310" spans="1:24" ht="18" x14ac:dyDescent="0.2">
      <c r="A310" s="507" t="s">
        <v>432</v>
      </c>
      <c r="B310" s="434" t="s">
        <v>725</v>
      </c>
      <c r="C310" s="229"/>
      <c r="D310" s="229"/>
      <c r="E310" s="229"/>
      <c r="F310" s="229"/>
      <c r="G310" s="229"/>
      <c r="H310" s="230"/>
      <c r="I310" s="416" t="s">
        <v>433</v>
      </c>
      <c r="J310" s="435"/>
      <c r="K310" s="556"/>
      <c r="L310" s="220"/>
      <c r="M310" s="167"/>
      <c r="N310" s="167"/>
      <c r="O310" s="167"/>
      <c r="P310" s="167"/>
      <c r="Q310" s="167"/>
      <c r="R310" s="167"/>
      <c r="S310" s="167"/>
      <c r="T310" s="167"/>
      <c r="U310" s="167"/>
      <c r="V310" s="167"/>
      <c r="W310" s="167"/>
    </row>
    <row r="311" spans="1:24" ht="18" x14ac:dyDescent="0.2">
      <c r="A311" s="508"/>
      <c r="B311" s="429" t="s">
        <v>434</v>
      </c>
      <c r="C311" s="222"/>
      <c r="D311" s="222"/>
      <c r="E311" s="222"/>
      <c r="F311" s="222"/>
      <c r="G311" s="222"/>
      <c r="H311" s="223"/>
      <c r="I311" s="416" t="s">
        <v>435</v>
      </c>
      <c r="J311" s="420"/>
      <c r="K311" s="556"/>
      <c r="L311" s="220"/>
      <c r="M311" s="167"/>
      <c r="N311" s="167"/>
      <c r="O311" s="167"/>
      <c r="P311" s="167"/>
      <c r="Q311" s="167"/>
      <c r="R311" s="167"/>
      <c r="S311" s="167"/>
      <c r="T311" s="167"/>
      <c r="U311" s="167"/>
      <c r="V311" s="167"/>
      <c r="W311" s="167"/>
    </row>
    <row r="312" spans="1:24" ht="18" x14ac:dyDescent="0.2">
      <c r="A312" s="508"/>
      <c r="B312" s="429" t="s">
        <v>726</v>
      </c>
      <c r="C312" s="222"/>
      <c r="D312" s="222"/>
      <c r="E312" s="222"/>
      <c r="F312" s="222"/>
      <c r="G312" s="222"/>
      <c r="H312" s="223"/>
      <c r="I312" s="416" t="s">
        <v>436</v>
      </c>
      <c r="J312" s="420">
        <f>L56</f>
        <v>1500</v>
      </c>
      <c r="K312" s="231"/>
      <c r="L312" s="232"/>
      <c r="M312" s="167"/>
      <c r="N312" s="167"/>
      <c r="O312" s="167"/>
      <c r="P312" s="167"/>
      <c r="Q312" s="167"/>
      <c r="R312" s="167"/>
      <c r="S312" s="167"/>
      <c r="T312" s="167"/>
      <c r="U312" s="167"/>
      <c r="V312" s="167"/>
      <c r="W312" s="167"/>
    </row>
    <row r="313" spans="1:24" ht="18" x14ac:dyDescent="0.2">
      <c r="A313" s="508"/>
      <c r="B313" s="429" t="s">
        <v>437</v>
      </c>
      <c r="C313" s="222"/>
      <c r="D313" s="222"/>
      <c r="E313" s="222"/>
      <c r="F313" s="222"/>
      <c r="G313" s="222"/>
      <c r="H313" s="223"/>
      <c r="I313" s="416" t="s">
        <v>438</v>
      </c>
      <c r="J313" s="436"/>
      <c r="K313" s="231"/>
      <c r="L313" s="220"/>
      <c r="M313" s="167"/>
      <c r="N313" s="167"/>
      <c r="O313" s="167"/>
      <c r="Q313" s="167"/>
      <c r="R313" s="167"/>
      <c r="S313" s="167"/>
      <c r="T313" s="167"/>
      <c r="U313" s="167"/>
      <c r="V313" s="167"/>
      <c r="W313" s="167"/>
    </row>
    <row r="314" spans="1:24" ht="15" customHeight="1" x14ac:dyDescent="0.2">
      <c r="A314" s="508"/>
      <c r="B314" s="429" t="s">
        <v>439</v>
      </c>
      <c r="C314" s="222"/>
      <c r="D314" s="222"/>
      <c r="E314" s="222"/>
      <c r="F314" s="222"/>
      <c r="G314" s="222"/>
      <c r="H314" s="223"/>
      <c r="I314" s="416" t="s">
        <v>440</v>
      </c>
      <c r="J314" s="420">
        <f>L63+L64+SUM(H65:H72)+SUM(H74:H78)+F238-G71</f>
        <v>50900</v>
      </c>
      <c r="K314" s="231"/>
      <c r="O314" s="233"/>
      <c r="P314" s="233"/>
      <c r="Q314" s="233"/>
      <c r="R314" s="233"/>
      <c r="S314" s="233"/>
      <c r="T314" s="233"/>
      <c r="U314" s="167"/>
      <c r="V314" s="167"/>
      <c r="W314" s="167"/>
      <c r="X314" s="167"/>
    </row>
    <row r="315" spans="1:24" ht="18" x14ac:dyDescent="0.2">
      <c r="A315" s="508"/>
      <c r="B315" s="429" t="s">
        <v>441</v>
      </c>
      <c r="C315" s="222"/>
      <c r="D315" s="222"/>
      <c r="E315" s="222"/>
      <c r="F315" s="222"/>
      <c r="G315" s="222"/>
      <c r="H315" s="223"/>
      <c r="I315" s="416" t="s">
        <v>442</v>
      </c>
      <c r="J315" s="437">
        <f ca="1">L60+J61+H285</f>
        <v>7776.9928568124051</v>
      </c>
      <c r="K315" s="231"/>
      <c r="O315" s="233"/>
      <c r="P315" s="233"/>
      <c r="Q315" s="233"/>
      <c r="R315" s="233"/>
      <c r="S315" s="233"/>
      <c r="T315" s="233"/>
      <c r="U315" s="167"/>
      <c r="V315" s="167"/>
      <c r="W315" s="167"/>
      <c r="X315" s="167"/>
    </row>
    <row r="316" spans="1:24" ht="18" x14ac:dyDescent="0.2">
      <c r="A316" s="508"/>
      <c r="B316" s="429" t="s">
        <v>443</v>
      </c>
      <c r="C316" s="222"/>
      <c r="D316" s="222"/>
      <c r="E316" s="222"/>
      <c r="F316" s="222"/>
      <c r="G316" s="222"/>
      <c r="H316" s="223"/>
      <c r="I316" s="416" t="s">
        <v>444</v>
      </c>
      <c r="J316" s="420">
        <f ca="1">L57+G417</f>
        <v>118253.58417348156</v>
      </c>
      <c r="K316" s="231"/>
      <c r="O316" s="167"/>
      <c r="P316" s="167"/>
      <c r="Q316" s="167"/>
      <c r="R316" s="167"/>
      <c r="S316" s="167"/>
      <c r="T316" s="167"/>
      <c r="U316" s="167"/>
      <c r="V316" s="167"/>
      <c r="W316" s="167"/>
      <c r="X316" s="167"/>
    </row>
    <row r="317" spans="1:24" ht="18" x14ac:dyDescent="0.2">
      <c r="A317" s="508"/>
      <c r="B317" s="415" t="s">
        <v>445</v>
      </c>
      <c r="C317" s="234"/>
      <c r="D317" s="234"/>
      <c r="E317" s="234"/>
      <c r="F317" s="234"/>
      <c r="G317" s="234"/>
      <c r="H317" s="235"/>
      <c r="I317" s="416" t="s">
        <v>446</v>
      </c>
      <c r="J317" s="420">
        <f ca="1">L58+E284-F285+J73</f>
        <v>38313.987122541206</v>
      </c>
      <c r="K317" s="231"/>
      <c r="L317" s="236"/>
      <c r="M317" s="167"/>
      <c r="N317" s="167"/>
      <c r="O317" s="167"/>
      <c r="P317" s="167"/>
      <c r="Q317" s="167"/>
      <c r="R317" s="167"/>
      <c r="S317" s="167"/>
      <c r="T317" s="167"/>
      <c r="U317" s="167"/>
      <c r="V317" s="167"/>
      <c r="W317" s="167"/>
      <c r="X317" s="167"/>
    </row>
    <row r="318" spans="1:24" ht="18" x14ac:dyDescent="0.2">
      <c r="A318" s="508"/>
      <c r="B318" s="538" t="s">
        <v>447</v>
      </c>
      <c r="C318" s="520" t="s">
        <v>1</v>
      </c>
      <c r="D318" s="500"/>
      <c r="E318" s="438" t="s">
        <v>448</v>
      </c>
      <c r="F318" s="222"/>
      <c r="G318" s="222"/>
      <c r="H318" s="223"/>
      <c r="I318" s="416" t="s">
        <v>449</v>
      </c>
      <c r="J318" s="420">
        <f>L91</f>
        <v>2500</v>
      </c>
      <c r="K318" s="231"/>
      <c r="L318" s="220"/>
      <c r="M318" s="167"/>
      <c r="N318" s="167"/>
      <c r="O318" s="167"/>
      <c r="P318" s="167"/>
      <c r="Q318" s="167"/>
      <c r="R318" s="167"/>
      <c r="S318" s="167"/>
      <c r="T318" s="167"/>
      <c r="U318" s="167"/>
      <c r="V318" s="167"/>
      <c r="W318" s="167"/>
      <c r="X318" s="167"/>
    </row>
    <row r="319" spans="1:24" ht="18" x14ac:dyDescent="0.2">
      <c r="A319" s="508"/>
      <c r="B319" s="539"/>
      <c r="C319" s="521"/>
      <c r="D319" s="522"/>
      <c r="E319" s="438" t="s">
        <v>450</v>
      </c>
      <c r="F319" s="222"/>
      <c r="G319" s="222"/>
      <c r="H319" s="223"/>
      <c r="I319" s="416" t="s">
        <v>451</v>
      </c>
      <c r="J319" s="436"/>
      <c r="K319" s="231"/>
      <c r="L319" s="220"/>
      <c r="M319" s="167"/>
      <c r="N319" s="167"/>
      <c r="O319" s="167"/>
      <c r="P319" s="167"/>
      <c r="Q319" s="167"/>
      <c r="R319" s="167"/>
      <c r="S319" s="167"/>
      <c r="T319" s="167"/>
      <c r="U319" s="167"/>
      <c r="V319" s="167"/>
      <c r="W319" s="167"/>
      <c r="X319" s="167"/>
    </row>
    <row r="320" spans="1:24" ht="18" x14ac:dyDescent="0.2">
      <c r="A320" s="508"/>
      <c r="B320" s="539"/>
      <c r="C320" s="439" t="s">
        <v>452</v>
      </c>
      <c r="D320" s="438"/>
      <c r="E320" s="222"/>
      <c r="F320" s="222"/>
      <c r="G320" s="222"/>
      <c r="H320" s="223"/>
      <c r="I320" s="416" t="s">
        <v>453</v>
      </c>
      <c r="J320" s="436"/>
      <c r="K320" s="231"/>
      <c r="L320" s="220"/>
      <c r="M320" s="167"/>
      <c r="N320" s="167"/>
      <c r="O320" s="167"/>
      <c r="P320" s="167"/>
      <c r="Q320" s="167"/>
      <c r="R320" s="167"/>
      <c r="S320" s="167"/>
      <c r="T320" s="167"/>
      <c r="U320" s="167"/>
      <c r="V320" s="167"/>
      <c r="W320" s="167"/>
      <c r="X320" s="167"/>
    </row>
    <row r="321" spans="1:24" ht="18" x14ac:dyDescent="0.2">
      <c r="A321" s="508"/>
      <c r="B321" s="540"/>
      <c r="C321" s="429" t="s">
        <v>454</v>
      </c>
      <c r="D321" s="222"/>
      <c r="E321" s="222"/>
      <c r="F321" s="222"/>
      <c r="G321" s="222"/>
      <c r="H321" s="223"/>
      <c r="I321" s="416" t="s">
        <v>455</v>
      </c>
      <c r="J321" s="436"/>
      <c r="K321" s="231"/>
      <c r="L321" s="220"/>
      <c r="M321" s="167"/>
      <c r="N321" s="167"/>
      <c r="O321" s="167"/>
      <c r="P321" s="167"/>
      <c r="Q321" s="167"/>
      <c r="R321" s="167"/>
      <c r="S321" s="167"/>
      <c r="T321" s="167"/>
      <c r="U321" s="167"/>
      <c r="V321" s="167"/>
      <c r="W321" s="167"/>
      <c r="X321" s="167"/>
    </row>
    <row r="322" spans="1:24" ht="18" x14ac:dyDescent="0.2">
      <c r="A322" s="508"/>
      <c r="B322" s="421" t="s">
        <v>456</v>
      </c>
      <c r="C322" s="370"/>
      <c r="D322" s="370"/>
      <c r="E322" s="370"/>
      <c r="F322" s="370"/>
      <c r="G322" s="370"/>
      <c r="H322" s="237"/>
      <c r="I322" s="416" t="s">
        <v>457</v>
      </c>
      <c r="J322" s="431">
        <f>L80</f>
        <v>0</v>
      </c>
      <c r="K322" s="231"/>
      <c r="L322" s="220"/>
      <c r="M322" s="167"/>
      <c r="N322" s="167"/>
      <c r="O322" s="167"/>
      <c r="P322" s="167"/>
      <c r="Q322" s="167"/>
      <c r="R322" s="167"/>
      <c r="S322" s="167"/>
      <c r="T322" s="167"/>
      <c r="U322" s="167"/>
      <c r="V322" s="167"/>
      <c r="W322" s="167"/>
      <c r="X322" s="167"/>
    </row>
    <row r="323" spans="1:24" ht="18" x14ac:dyDescent="0.2">
      <c r="A323" s="509"/>
      <c r="B323" s="432" t="s">
        <v>458</v>
      </c>
      <c r="C323" s="226"/>
      <c r="D323" s="226"/>
      <c r="E323" s="226"/>
      <c r="F323" s="226"/>
      <c r="G323" s="226"/>
      <c r="H323" s="227"/>
      <c r="I323" s="416" t="s">
        <v>459</v>
      </c>
      <c r="J323" s="433">
        <f ca="1">SUM(J310:J322)</f>
        <v>219244.56415283517</v>
      </c>
      <c r="K323" s="231"/>
      <c r="L323" s="220"/>
      <c r="M323" s="167"/>
      <c r="N323" s="167"/>
      <c r="O323" s="167"/>
      <c r="P323" s="167"/>
      <c r="Q323" s="167"/>
      <c r="R323" s="167"/>
      <c r="S323" s="167"/>
      <c r="T323" s="167"/>
      <c r="U323" s="167"/>
      <c r="V323" s="167"/>
      <c r="W323" s="167"/>
      <c r="X323" s="167"/>
    </row>
    <row r="324" spans="1:24" ht="18" x14ac:dyDescent="0.2">
      <c r="A324" s="440" t="s">
        <v>460</v>
      </c>
      <c r="B324" s="226"/>
      <c r="C324" s="226"/>
      <c r="D324" s="226"/>
      <c r="E324" s="226"/>
      <c r="F324" s="226"/>
      <c r="G324" s="226"/>
      <c r="H324" s="227"/>
      <c r="I324" s="416" t="s">
        <v>461</v>
      </c>
      <c r="J324" s="441">
        <f ca="1">J309-J323</f>
        <v>20755.43584716483</v>
      </c>
      <c r="K324" s="231"/>
      <c r="L324" s="220"/>
      <c r="M324" s="167"/>
      <c r="N324" s="167"/>
      <c r="O324" s="167"/>
      <c r="P324" s="167"/>
      <c r="Q324" s="167"/>
      <c r="R324" s="167"/>
      <c r="S324" s="167"/>
      <c r="T324" s="167"/>
      <c r="U324" s="167"/>
      <c r="V324" s="167"/>
      <c r="W324" s="167"/>
      <c r="X324" s="167"/>
    </row>
    <row r="325" spans="1:24" s="220" customFormat="1" ht="24" customHeight="1" x14ac:dyDescent="0.2">
      <c r="A325" s="510" t="s">
        <v>728</v>
      </c>
      <c r="B325" s="442" t="s">
        <v>462</v>
      </c>
      <c r="C325" s="238"/>
      <c r="D325" s="238"/>
      <c r="E325" s="238"/>
      <c r="F325" s="238"/>
      <c r="G325" s="238"/>
      <c r="H325" s="239"/>
      <c r="I325" s="416" t="s">
        <v>463</v>
      </c>
      <c r="J325" s="435">
        <f>L87</f>
        <v>0</v>
      </c>
      <c r="K325" s="231"/>
    </row>
    <row r="326" spans="1:24" s="220" customFormat="1" ht="15" customHeight="1" x14ac:dyDescent="0.2">
      <c r="A326" s="511"/>
      <c r="B326" s="421" t="s">
        <v>727</v>
      </c>
      <c r="C326" s="370"/>
      <c r="D326" s="370"/>
      <c r="E326" s="370"/>
      <c r="F326" s="370"/>
      <c r="G326" s="370"/>
      <c r="H326" s="237"/>
      <c r="I326" s="416" t="s">
        <v>464</v>
      </c>
      <c r="J326" s="443">
        <f>L94</f>
        <v>0</v>
      </c>
      <c r="K326" s="231"/>
    </row>
    <row r="327" spans="1:24" s="220" customFormat="1" ht="18" customHeight="1" x14ac:dyDescent="0.2">
      <c r="A327" s="507" t="s">
        <v>465</v>
      </c>
      <c r="B327" s="442" t="s">
        <v>466</v>
      </c>
      <c r="C327" s="238"/>
      <c r="D327" s="238"/>
      <c r="E327" s="238"/>
      <c r="F327" s="238"/>
      <c r="G327" s="238"/>
      <c r="H327" s="239"/>
      <c r="I327" s="416" t="s">
        <v>467</v>
      </c>
      <c r="J327" s="436"/>
      <c r="K327" s="231"/>
    </row>
    <row r="328" spans="1:24" s="220" customFormat="1" ht="15.95" customHeight="1" x14ac:dyDescent="0.2">
      <c r="A328" s="508"/>
      <c r="B328" s="444" t="s">
        <v>468</v>
      </c>
      <c r="E328" s="210"/>
      <c r="F328" s="210"/>
      <c r="G328" s="210"/>
      <c r="H328" s="240"/>
      <c r="I328" s="416" t="s">
        <v>469</v>
      </c>
      <c r="J328" s="436"/>
      <c r="K328" s="231"/>
    </row>
    <row r="329" spans="1:24" s="220" customFormat="1" ht="14.45" customHeight="1" x14ac:dyDescent="0.2">
      <c r="A329" s="508"/>
      <c r="B329" s="444" t="s">
        <v>470</v>
      </c>
      <c r="E329" s="210"/>
      <c r="F329" s="210"/>
      <c r="G329" s="210"/>
      <c r="H329" s="240"/>
      <c r="I329" s="416" t="s">
        <v>471</v>
      </c>
      <c r="J329" s="420">
        <f>L51</f>
        <v>0</v>
      </c>
      <c r="K329" s="231"/>
    </row>
    <row r="330" spans="1:24" s="220" customFormat="1" ht="20.100000000000001" customHeight="1" x14ac:dyDescent="0.2">
      <c r="A330" s="508"/>
      <c r="B330" s="444" t="s">
        <v>472</v>
      </c>
      <c r="E330" s="210"/>
      <c r="F330" s="210"/>
      <c r="G330" s="210"/>
      <c r="H330" s="240"/>
      <c r="I330" s="416" t="s">
        <v>473</v>
      </c>
      <c r="J330" s="436"/>
      <c r="K330" s="231"/>
    </row>
    <row r="331" spans="1:24" s="220" customFormat="1" ht="14.45" customHeight="1" x14ac:dyDescent="0.2">
      <c r="A331" s="508"/>
      <c r="B331" s="444" t="s">
        <v>474</v>
      </c>
      <c r="E331" s="210"/>
      <c r="F331" s="210"/>
      <c r="G331" s="210"/>
      <c r="H331" s="240"/>
      <c r="I331" s="416" t="s">
        <v>475</v>
      </c>
      <c r="J331" s="436"/>
      <c r="K331" s="231"/>
    </row>
    <row r="332" spans="1:24" s="220" customFormat="1" ht="14.45" customHeight="1" x14ac:dyDescent="0.2">
      <c r="A332" s="508"/>
      <c r="B332" s="421" t="s">
        <v>476</v>
      </c>
      <c r="C332" s="370"/>
      <c r="D332" s="370"/>
      <c r="E332" s="370"/>
      <c r="F332" s="370"/>
      <c r="G332" s="370"/>
      <c r="H332" s="237"/>
      <c r="I332" s="416" t="s">
        <v>477</v>
      </c>
      <c r="J332" s="445"/>
      <c r="K332" s="231"/>
    </row>
    <row r="333" spans="1:24" s="220" customFormat="1" ht="14.45" customHeight="1" x14ac:dyDescent="0.2">
      <c r="A333" s="509"/>
      <c r="B333" s="432" t="s">
        <v>478</v>
      </c>
      <c r="C333" s="226"/>
      <c r="D333" s="226"/>
      <c r="E333" s="226"/>
      <c r="F333" s="226"/>
      <c r="G333" s="226"/>
      <c r="H333" s="227"/>
      <c r="I333" s="416" t="s">
        <v>479</v>
      </c>
      <c r="J333" s="433">
        <f>SUM(J325:J332)</f>
        <v>0</v>
      </c>
      <c r="K333" s="231"/>
    </row>
    <row r="334" spans="1:24" s="220" customFormat="1" ht="14.45" customHeight="1" x14ac:dyDescent="0.2">
      <c r="A334" s="620" t="s">
        <v>480</v>
      </c>
      <c r="B334" s="442" t="s">
        <v>481</v>
      </c>
      <c r="C334" s="238"/>
      <c r="D334" s="238"/>
      <c r="E334" s="238"/>
      <c r="F334" s="238"/>
      <c r="G334" s="238"/>
      <c r="H334" s="239"/>
      <c r="I334" s="416" t="s">
        <v>482</v>
      </c>
      <c r="J334" s="428"/>
      <c r="K334" s="231"/>
    </row>
    <row r="335" spans="1:24" s="220" customFormat="1" ht="14.45" customHeight="1" x14ac:dyDescent="0.2">
      <c r="A335" s="621"/>
      <c r="B335" s="444" t="s">
        <v>483</v>
      </c>
      <c r="E335" s="210"/>
      <c r="F335" s="210"/>
      <c r="G335" s="210"/>
      <c r="H335" s="240"/>
      <c r="I335" s="416" t="s">
        <v>484</v>
      </c>
      <c r="J335" s="420">
        <f>L79</f>
        <v>1600</v>
      </c>
      <c r="K335" s="231"/>
      <c r="M335" s="236"/>
    </row>
    <row r="336" spans="1:24" s="220" customFormat="1" ht="14.45" customHeight="1" x14ac:dyDescent="0.2">
      <c r="A336" s="621"/>
      <c r="B336" s="444" t="s">
        <v>485</v>
      </c>
      <c r="E336" s="210"/>
      <c r="F336" s="210"/>
      <c r="G336" s="210"/>
      <c r="H336" s="240"/>
      <c r="I336" s="416" t="s">
        <v>486</v>
      </c>
      <c r="J336" s="436"/>
      <c r="K336" s="241"/>
      <c r="M336" s="236"/>
    </row>
    <row r="337" spans="1:13" s="220" customFormat="1" ht="14.45" customHeight="1" x14ac:dyDescent="0.2">
      <c r="A337" s="621"/>
      <c r="B337" s="421" t="s">
        <v>487</v>
      </c>
      <c r="C337" s="370"/>
      <c r="D337" s="370"/>
      <c r="E337" s="370"/>
      <c r="F337" s="370"/>
      <c r="G337" s="370"/>
      <c r="H337" s="237"/>
      <c r="I337" s="416" t="s">
        <v>488</v>
      </c>
      <c r="J337" s="445"/>
      <c r="K337" s="231"/>
      <c r="M337" s="236"/>
    </row>
    <row r="338" spans="1:13" s="220" customFormat="1" ht="14.45" customHeight="1" x14ac:dyDescent="0.2">
      <c r="A338" s="622"/>
      <c r="B338" s="432" t="s">
        <v>489</v>
      </c>
      <c r="C338" s="226"/>
      <c r="D338" s="226"/>
      <c r="E338" s="226"/>
      <c r="F338" s="226"/>
      <c r="G338" s="226"/>
      <c r="H338" s="227"/>
      <c r="I338" s="416" t="s">
        <v>490</v>
      </c>
      <c r="J338" s="433">
        <f>SUM(J334:J337)</f>
        <v>1600</v>
      </c>
      <c r="K338" s="231"/>
      <c r="M338" s="236"/>
    </row>
    <row r="339" spans="1:13" s="220" customFormat="1" ht="14.45" customHeight="1" x14ac:dyDescent="0.2">
      <c r="A339" s="440" t="s">
        <v>491</v>
      </c>
      <c r="B339" s="226"/>
      <c r="C339" s="226"/>
      <c r="D339" s="226"/>
      <c r="E339" s="226"/>
      <c r="F339" s="226"/>
      <c r="G339" s="226"/>
      <c r="H339" s="227"/>
      <c r="I339" s="416" t="s">
        <v>492</v>
      </c>
      <c r="J339" s="441">
        <f>J333-J338</f>
        <v>-1600</v>
      </c>
      <c r="K339" s="231"/>
    </row>
    <row r="340" spans="1:13" s="220" customFormat="1" ht="14.45" customHeight="1" thickBot="1" x14ac:dyDescent="0.25">
      <c r="A340" s="446" t="s">
        <v>493</v>
      </c>
      <c r="B340" s="242"/>
      <c r="C340" s="242"/>
      <c r="D340" s="242"/>
      <c r="E340" s="242"/>
      <c r="F340" s="242"/>
      <c r="G340" s="242"/>
      <c r="H340" s="243"/>
      <c r="I340" s="424" t="s">
        <v>494</v>
      </c>
      <c r="J340" s="447">
        <f ca="1">J309-J323+J325-J326+J333-J338</f>
        <v>19155.43584716483</v>
      </c>
      <c r="K340" s="231"/>
      <c r="M340" s="236"/>
    </row>
    <row r="341" spans="1:13" s="220" customFormat="1" ht="14.45" customHeight="1" x14ac:dyDescent="0.2">
      <c r="A341" s="537" t="s">
        <v>495</v>
      </c>
      <c r="B341" s="537"/>
      <c r="C341" s="537"/>
      <c r="D341" s="537"/>
      <c r="E341" s="537"/>
      <c r="F341" s="537"/>
      <c r="G341" s="537"/>
      <c r="H341" s="537"/>
      <c r="I341" s="537"/>
      <c r="J341" s="537"/>
      <c r="K341" s="231"/>
    </row>
    <row r="342" spans="1:13" s="220" customFormat="1" ht="14.45" customHeight="1" x14ac:dyDescent="0.2">
      <c r="B342" s="210"/>
      <c r="K342" s="231"/>
    </row>
    <row r="343" spans="1:13" s="220" customFormat="1" ht="21" customHeight="1" x14ac:dyDescent="0.35">
      <c r="A343" s="244"/>
      <c r="B343" s="244"/>
      <c r="C343" s="531" t="s">
        <v>672</v>
      </c>
      <c r="D343" s="531"/>
      <c r="E343" s="531"/>
      <c r="F343" s="531"/>
      <c r="G343" s="531"/>
      <c r="H343" s="531"/>
      <c r="I343" s="244"/>
      <c r="J343" s="244"/>
      <c r="K343" s="231"/>
    </row>
    <row r="344" spans="1:13" s="220" customFormat="1" ht="14.45" customHeight="1" x14ac:dyDescent="0.2">
      <c r="C344" s="286" t="s">
        <v>496</v>
      </c>
      <c r="D344" s="287"/>
      <c r="J344" s="228" t="s">
        <v>686</v>
      </c>
      <c r="K344" s="231"/>
    </row>
    <row r="345" spans="1:13" s="220" customFormat="1" ht="14.45" customHeight="1" thickBot="1" x14ac:dyDescent="0.25">
      <c r="J345" s="213"/>
      <c r="K345" s="231"/>
    </row>
    <row r="346" spans="1:13" s="220" customFormat="1" ht="14.45" customHeight="1" x14ac:dyDescent="0.2">
      <c r="A346" s="525" t="s">
        <v>400</v>
      </c>
      <c r="B346" s="526"/>
      <c r="C346" s="526"/>
      <c r="D346" s="526"/>
      <c r="E346" s="529" t="str">
        <f>+CONCATENATE(E297," ",F297)</f>
        <v>SEL Expert comptable- commissaire aux comptes</v>
      </c>
      <c r="F346" s="529"/>
      <c r="G346" s="529"/>
      <c r="H346" s="529"/>
      <c r="I346" s="448"/>
      <c r="J346" s="450"/>
      <c r="K346" s="231"/>
    </row>
    <row r="347" spans="1:13" s="220" customFormat="1" ht="14.45" customHeight="1" thickBot="1" x14ac:dyDescent="0.25">
      <c r="A347" s="527"/>
      <c r="B347" s="528"/>
      <c r="C347" s="528"/>
      <c r="D347" s="528"/>
      <c r="E347" s="530"/>
      <c r="F347" s="530"/>
      <c r="G347" s="530"/>
      <c r="H347" s="530"/>
      <c r="I347" s="449"/>
      <c r="J347" s="451"/>
      <c r="K347" s="231"/>
    </row>
    <row r="348" spans="1:13" s="220" customFormat="1" ht="14.45" customHeight="1" thickBot="1" x14ac:dyDescent="0.25">
      <c r="A348" s="523"/>
      <c r="B348" s="524"/>
      <c r="C348" s="524"/>
      <c r="D348" s="524"/>
      <c r="E348" s="524"/>
      <c r="F348" s="524"/>
      <c r="G348" s="524"/>
      <c r="H348" s="524"/>
      <c r="I348" s="452"/>
      <c r="J348" s="453" t="s">
        <v>401</v>
      </c>
      <c r="K348" s="231"/>
    </row>
    <row r="349" spans="1:13" s="220" customFormat="1" ht="14.45" customHeight="1" x14ac:dyDescent="0.2">
      <c r="A349" s="620" t="s">
        <v>735</v>
      </c>
      <c r="B349" s="547" t="s">
        <v>497</v>
      </c>
      <c r="C349" s="548"/>
      <c r="D349" s="548"/>
      <c r="E349" s="548"/>
      <c r="F349" s="548"/>
      <c r="G349" s="548"/>
      <c r="H349" s="548"/>
      <c r="I349" s="410" t="s">
        <v>498</v>
      </c>
      <c r="J349" s="428"/>
      <c r="K349" s="231"/>
    </row>
    <row r="350" spans="1:13" s="220" customFormat="1" ht="14.45" customHeight="1" x14ac:dyDescent="0.2">
      <c r="A350" s="624"/>
      <c r="B350" s="505" t="s">
        <v>499</v>
      </c>
      <c r="C350" s="506"/>
      <c r="D350" s="506"/>
      <c r="E350" s="506"/>
      <c r="F350" s="506"/>
      <c r="G350" s="506"/>
      <c r="H350" s="506"/>
      <c r="I350" s="416" t="s">
        <v>500</v>
      </c>
      <c r="J350" s="420">
        <f>L85</f>
        <v>0</v>
      </c>
      <c r="K350" s="231"/>
    </row>
    <row r="351" spans="1:13" s="220" customFormat="1" ht="14.45" customHeight="1" x14ac:dyDescent="0.2">
      <c r="A351" s="624"/>
      <c r="B351" s="505" t="s">
        <v>472</v>
      </c>
      <c r="C351" s="506"/>
      <c r="D351" s="506"/>
      <c r="E351" s="506"/>
      <c r="F351" s="506"/>
      <c r="G351" s="506"/>
      <c r="H351" s="506"/>
      <c r="I351" s="416" t="s">
        <v>501</v>
      </c>
      <c r="J351" s="445"/>
      <c r="K351" s="241"/>
    </row>
    <row r="352" spans="1:13" s="220" customFormat="1" ht="14.45" customHeight="1" x14ac:dyDescent="0.2">
      <c r="A352" s="625"/>
      <c r="B352" s="626" t="s">
        <v>502</v>
      </c>
      <c r="C352" s="627"/>
      <c r="D352" s="627"/>
      <c r="E352" s="627"/>
      <c r="F352" s="627"/>
      <c r="G352" s="627"/>
      <c r="H352" s="628"/>
      <c r="I352" s="416" t="s">
        <v>503</v>
      </c>
      <c r="J352" s="433">
        <f>SUM(J349:J351)</f>
        <v>0</v>
      </c>
      <c r="K352" s="241"/>
    </row>
    <row r="353" spans="1:11" s="220" customFormat="1" ht="14.45" customHeight="1" x14ac:dyDescent="0.2">
      <c r="A353" s="620" t="s">
        <v>734</v>
      </c>
      <c r="B353" s="505" t="s">
        <v>504</v>
      </c>
      <c r="C353" s="506"/>
      <c r="D353" s="506"/>
      <c r="E353" s="506"/>
      <c r="F353" s="506"/>
      <c r="G353" s="506"/>
      <c r="H353" s="506"/>
      <c r="I353" s="416" t="s">
        <v>505</v>
      </c>
      <c r="J353" s="428"/>
    </row>
    <row r="354" spans="1:11" s="220" customFormat="1" ht="14.45" customHeight="1" x14ac:dyDescent="0.2">
      <c r="A354" s="624"/>
      <c r="B354" s="505" t="s">
        <v>506</v>
      </c>
      <c r="C354" s="506"/>
      <c r="D354" s="506"/>
      <c r="E354" s="506"/>
      <c r="F354" s="506"/>
      <c r="G354" s="506"/>
      <c r="H354" s="506"/>
      <c r="I354" s="416" t="s">
        <v>507</v>
      </c>
      <c r="J354" s="420">
        <f>L92</f>
        <v>0</v>
      </c>
    </row>
    <row r="355" spans="1:11" s="220" customFormat="1" ht="14.45" customHeight="1" x14ac:dyDescent="0.2">
      <c r="A355" s="624"/>
      <c r="B355" s="505" t="s">
        <v>508</v>
      </c>
      <c r="C355" s="506"/>
      <c r="D355" s="506"/>
      <c r="E355" s="506"/>
      <c r="F355" s="506"/>
      <c r="G355" s="506"/>
      <c r="H355" s="506"/>
      <c r="I355" s="416" t="s">
        <v>509</v>
      </c>
      <c r="J355" s="445"/>
      <c r="K355" s="244"/>
    </row>
    <row r="356" spans="1:11" s="220" customFormat="1" ht="14.45" customHeight="1" x14ac:dyDescent="0.2">
      <c r="A356" s="624"/>
      <c r="B356" s="512" t="s">
        <v>510</v>
      </c>
      <c r="C356" s="513"/>
      <c r="D356" s="513"/>
      <c r="E356" s="513"/>
      <c r="F356" s="513"/>
      <c r="G356" s="513"/>
      <c r="H356" s="514"/>
      <c r="I356" s="416" t="s">
        <v>511</v>
      </c>
      <c r="J356" s="433">
        <f>SUM(J353:J355)</f>
        <v>0</v>
      </c>
      <c r="K356" s="228"/>
    </row>
    <row r="357" spans="1:11" s="220" customFormat="1" ht="14.45" customHeight="1" x14ac:dyDescent="0.2">
      <c r="A357" s="603" t="s">
        <v>512</v>
      </c>
      <c r="B357" s="604"/>
      <c r="C357" s="604"/>
      <c r="D357" s="604"/>
      <c r="E357" s="604"/>
      <c r="F357" s="604"/>
      <c r="G357" s="604"/>
      <c r="H357" s="605"/>
      <c r="I357" s="416" t="s">
        <v>513</v>
      </c>
      <c r="J357" s="441">
        <f>J352-J356</f>
        <v>0</v>
      </c>
      <c r="K357" s="213"/>
    </row>
    <row r="358" spans="1:11" s="220" customFormat="1" ht="14.45" customHeight="1" x14ac:dyDescent="0.2">
      <c r="A358" s="631" t="s">
        <v>514</v>
      </c>
      <c r="B358" s="632"/>
      <c r="C358" s="632"/>
      <c r="D358" s="632"/>
      <c r="E358" s="632"/>
      <c r="F358" s="632"/>
      <c r="G358" s="632"/>
      <c r="H358" s="632"/>
      <c r="I358" s="416" t="s">
        <v>515</v>
      </c>
      <c r="J358" s="428"/>
      <c r="K358" s="210"/>
    </row>
    <row r="359" spans="1:11" s="220" customFormat="1" ht="14.45" customHeight="1" x14ac:dyDescent="0.2">
      <c r="A359" s="646" t="s">
        <v>516</v>
      </c>
      <c r="B359" s="647"/>
      <c r="C359" s="647"/>
      <c r="D359" s="647"/>
      <c r="E359" s="647"/>
      <c r="F359" s="647"/>
      <c r="G359" s="647"/>
      <c r="H359" s="647"/>
      <c r="I359" s="416" t="s">
        <v>517</v>
      </c>
      <c r="J359" s="431">
        <f ca="1">IF((J340+J357)&lt;=0,0,IF((J340+J357)&lt;38120,(J340+J357)*15%,38120*15%+((J340+J357)-38120)*33.33%))</f>
        <v>2873.3153770747244</v>
      </c>
      <c r="K359" s="210"/>
    </row>
    <row r="360" spans="1:11" s="220" customFormat="1" ht="14.45" customHeight="1" x14ac:dyDescent="0.2">
      <c r="A360" s="563" t="s">
        <v>518</v>
      </c>
      <c r="B360" s="564"/>
      <c r="C360" s="565"/>
      <c r="D360" s="565"/>
      <c r="E360" s="565"/>
      <c r="F360" s="565"/>
      <c r="G360" s="565"/>
      <c r="H360" s="566"/>
      <c r="I360" s="416" t="s">
        <v>519</v>
      </c>
      <c r="J360" s="454">
        <f>J309+J325+J333+J352</f>
        <v>240000</v>
      </c>
      <c r="K360" s="245"/>
    </row>
    <row r="361" spans="1:11" s="220" customFormat="1" ht="14.45" customHeight="1" x14ac:dyDescent="0.2">
      <c r="A361" s="563" t="s">
        <v>520</v>
      </c>
      <c r="B361" s="564"/>
      <c r="C361" s="565"/>
      <c r="D361" s="565"/>
      <c r="E361" s="565"/>
      <c r="F361" s="565"/>
      <c r="G361" s="565"/>
      <c r="H361" s="566"/>
      <c r="I361" s="416" t="s">
        <v>521</v>
      </c>
      <c r="J361" s="455">
        <f ca="1">J323+J326+J338+J356+J358+J359</f>
        <v>223717.8795299099</v>
      </c>
      <c r="K361" s="231"/>
    </row>
    <row r="362" spans="1:11" s="220" customFormat="1" ht="14.45" customHeight="1" x14ac:dyDescent="0.2">
      <c r="A362" s="603" t="s">
        <v>522</v>
      </c>
      <c r="B362" s="604"/>
      <c r="C362" s="604"/>
      <c r="D362" s="604"/>
      <c r="E362" s="604"/>
      <c r="F362" s="604"/>
      <c r="G362" s="604"/>
      <c r="H362" s="605"/>
      <c r="I362" s="416" t="s">
        <v>523</v>
      </c>
      <c r="J362" s="441">
        <f ca="1">J360-J361</f>
        <v>16282.1204700901</v>
      </c>
      <c r="K362" s="231"/>
    </row>
    <row r="363" spans="1:11" s="220" customFormat="1" ht="14.45" customHeight="1" x14ac:dyDescent="0.2">
      <c r="A363" s="567" t="s">
        <v>524</v>
      </c>
      <c r="B363" s="456" t="s">
        <v>525</v>
      </c>
      <c r="C363" s="521" t="s">
        <v>526</v>
      </c>
      <c r="D363" s="522"/>
      <c r="E363" s="522"/>
      <c r="F363" s="522"/>
      <c r="G363" s="522"/>
      <c r="H363" s="576"/>
      <c r="I363" s="416" t="s">
        <v>527</v>
      </c>
      <c r="J363" s="435"/>
      <c r="K363" s="231"/>
    </row>
    <row r="364" spans="1:11" s="220" customFormat="1" ht="14.45" customHeight="1" x14ac:dyDescent="0.2">
      <c r="A364" s="568"/>
      <c r="B364" s="561" t="s">
        <v>528</v>
      </c>
      <c r="C364" s="222" t="s">
        <v>529</v>
      </c>
      <c r="D364" s="222"/>
      <c r="E364" s="222"/>
      <c r="F364" s="222"/>
      <c r="G364" s="222"/>
      <c r="H364" s="222"/>
      <c r="I364" s="416" t="s">
        <v>530</v>
      </c>
      <c r="J364" s="420"/>
      <c r="K364" s="231"/>
    </row>
    <row r="365" spans="1:11" s="220" customFormat="1" ht="14.45" customHeight="1" x14ac:dyDescent="0.2">
      <c r="A365" s="568"/>
      <c r="B365" s="645"/>
      <c r="C365" s="501" t="s">
        <v>732</v>
      </c>
      <c r="D365" s="501"/>
      <c r="E365" s="501"/>
      <c r="F365" s="501"/>
      <c r="G365" s="501"/>
      <c r="H365" s="502"/>
      <c r="I365" s="457" t="s">
        <v>531</v>
      </c>
      <c r="J365" s="420"/>
      <c r="K365" s="231"/>
    </row>
    <row r="366" spans="1:11" s="220" customFormat="1" ht="14.45" customHeight="1" x14ac:dyDescent="0.2">
      <c r="A366" s="568"/>
      <c r="B366" s="561" t="s">
        <v>532</v>
      </c>
      <c r="C366" s="580" t="s">
        <v>533</v>
      </c>
      <c r="D366" s="580"/>
      <c r="E366" s="580"/>
      <c r="F366" s="580"/>
      <c r="G366" s="580"/>
      <c r="H366" s="581"/>
      <c r="I366" s="416" t="s">
        <v>534</v>
      </c>
      <c r="J366" s="420"/>
      <c r="K366" s="231"/>
    </row>
    <row r="367" spans="1:11" s="220" customFormat="1" ht="14.45" customHeight="1" x14ac:dyDescent="0.2">
      <c r="A367" s="568"/>
      <c r="B367" s="562"/>
      <c r="C367" s="580" t="s">
        <v>535</v>
      </c>
      <c r="D367" s="580"/>
      <c r="E367" s="580"/>
      <c r="F367" s="580"/>
      <c r="G367" s="580"/>
      <c r="H367" s="581"/>
      <c r="I367" s="416" t="s">
        <v>536</v>
      </c>
      <c r="J367" s="420"/>
      <c r="K367" s="231"/>
    </row>
    <row r="368" spans="1:11" s="220" customFormat="1" ht="14.45" customHeight="1" x14ac:dyDescent="0.2">
      <c r="A368" s="568"/>
      <c r="B368" s="458" t="s">
        <v>537</v>
      </c>
      <c r="C368" s="503" t="s">
        <v>538</v>
      </c>
      <c r="D368" s="503"/>
      <c r="E368" s="503"/>
      <c r="F368" s="503"/>
      <c r="G368" s="503"/>
      <c r="H368" s="504"/>
      <c r="I368" s="459" t="s">
        <v>539</v>
      </c>
      <c r="J368" s="420"/>
      <c r="K368" s="231"/>
    </row>
    <row r="369" spans="1:11" s="220" customFormat="1" ht="14.45" customHeight="1" x14ac:dyDescent="0.2">
      <c r="A369" s="568"/>
      <c r="B369" s="458" t="s">
        <v>540</v>
      </c>
      <c r="C369" s="503" t="s">
        <v>736</v>
      </c>
      <c r="D369" s="503"/>
      <c r="E369" s="503"/>
      <c r="F369" s="503"/>
      <c r="G369" s="503"/>
      <c r="H369" s="504"/>
      <c r="I369" s="460" t="s">
        <v>541</v>
      </c>
      <c r="J369" s="420"/>
      <c r="K369" s="246"/>
    </row>
    <row r="370" spans="1:11" s="220" customFormat="1" ht="14.45" customHeight="1" x14ac:dyDescent="0.2">
      <c r="A370" s="568"/>
      <c r="B370" s="458" t="s">
        <v>542</v>
      </c>
      <c r="C370" s="503" t="s">
        <v>543</v>
      </c>
      <c r="D370" s="503"/>
      <c r="E370" s="503"/>
      <c r="F370" s="503"/>
      <c r="G370" s="503"/>
      <c r="H370" s="504"/>
      <c r="I370" s="461" t="s">
        <v>544</v>
      </c>
      <c r="J370" s="420"/>
      <c r="K370" s="231"/>
    </row>
    <row r="371" spans="1:11" s="220" customFormat="1" ht="14.45" customHeight="1" x14ac:dyDescent="0.2">
      <c r="A371" s="568"/>
      <c r="B371" s="458" t="s">
        <v>545</v>
      </c>
      <c r="C371" s="462" t="s">
        <v>546</v>
      </c>
      <c r="D371" s="462"/>
      <c r="E371" s="462"/>
      <c r="F371" s="462"/>
      <c r="G371" s="462"/>
      <c r="H371" s="463"/>
      <c r="I371" s="416" t="s">
        <v>547</v>
      </c>
      <c r="J371" s="431"/>
      <c r="K371" s="231"/>
    </row>
    <row r="372" spans="1:11" s="220" customFormat="1" ht="9.9499999999999993" customHeight="1" x14ac:dyDescent="0.2">
      <c r="A372" s="568"/>
      <c r="B372" s="458" t="s">
        <v>548</v>
      </c>
      <c r="C372" s="503" t="s">
        <v>549</v>
      </c>
      <c r="D372" s="503"/>
      <c r="E372" s="503"/>
      <c r="F372" s="503"/>
      <c r="G372" s="503"/>
      <c r="H372" s="504"/>
      <c r="I372" s="416" t="s">
        <v>550</v>
      </c>
      <c r="J372" s="443"/>
      <c r="K372" s="246"/>
    </row>
    <row r="373" spans="1:11" s="220" customFormat="1" x14ac:dyDescent="0.2">
      <c r="A373" s="568"/>
      <c r="B373" s="464" t="s">
        <v>551</v>
      </c>
      <c r="C373" s="499" t="s">
        <v>552</v>
      </c>
      <c r="D373" s="501"/>
      <c r="E373" s="501"/>
      <c r="F373" s="501"/>
      <c r="G373" s="501"/>
      <c r="H373" s="502"/>
      <c r="I373" s="416" t="s">
        <v>553</v>
      </c>
      <c r="J373" s="443"/>
      <c r="K373" s="246"/>
    </row>
    <row r="374" spans="1:11" s="220" customFormat="1" ht="18" customHeight="1" x14ac:dyDescent="0.2">
      <c r="A374" s="568"/>
      <c r="B374" s="465" t="s">
        <v>554</v>
      </c>
      <c r="C374" s="520" t="s">
        <v>555</v>
      </c>
      <c r="D374" s="500"/>
      <c r="E374" s="500"/>
      <c r="F374" s="500"/>
      <c r="G374" s="500"/>
      <c r="H374" s="633"/>
      <c r="I374" s="416" t="s">
        <v>556</v>
      </c>
      <c r="J374" s="443"/>
      <c r="K374" s="246"/>
    </row>
    <row r="375" spans="1:11" s="220" customFormat="1" ht="18" customHeight="1" thickBot="1" x14ac:dyDescent="0.25">
      <c r="A375" s="568"/>
      <c r="B375" s="465" t="s">
        <v>557</v>
      </c>
      <c r="C375" s="499" t="s">
        <v>558</v>
      </c>
      <c r="D375" s="500"/>
      <c r="E375" s="501"/>
      <c r="F375" s="501"/>
      <c r="G375" s="500"/>
      <c r="H375" s="502"/>
      <c r="I375" s="416" t="s">
        <v>559</v>
      </c>
      <c r="J375" s="443"/>
      <c r="K375" s="231"/>
    </row>
    <row r="376" spans="1:11" s="220" customFormat="1" ht="75" x14ac:dyDescent="0.2">
      <c r="A376" s="568"/>
      <c r="B376" s="466" t="s">
        <v>560</v>
      </c>
      <c r="C376" s="467" t="s">
        <v>561</v>
      </c>
      <c r="D376" s="468" t="s">
        <v>562</v>
      </c>
      <c r="E376" s="469"/>
      <c r="F376" s="470" t="s">
        <v>563</v>
      </c>
      <c r="G376" s="468" t="s">
        <v>564</v>
      </c>
      <c r="H376" s="471"/>
      <c r="I376" s="472"/>
      <c r="J376" s="423"/>
      <c r="K376" s="231"/>
    </row>
    <row r="377" spans="1:11" s="220" customFormat="1" x14ac:dyDescent="0.2">
      <c r="A377" s="568"/>
      <c r="B377" s="648" t="s">
        <v>565</v>
      </c>
      <c r="C377" s="506" t="s">
        <v>733</v>
      </c>
      <c r="D377" s="506"/>
      <c r="E377" s="506"/>
      <c r="F377" s="506"/>
      <c r="G377" s="506"/>
      <c r="H377" s="506"/>
      <c r="I377" s="558"/>
      <c r="J377" s="473" t="s">
        <v>401</v>
      </c>
      <c r="K377" s="231"/>
    </row>
    <row r="378" spans="1:11" s="220" customFormat="1" ht="30" x14ac:dyDescent="0.2">
      <c r="A378" s="568"/>
      <c r="B378" s="649"/>
      <c r="C378" s="559"/>
      <c r="D378" s="559"/>
      <c r="E378" s="559"/>
      <c r="F378" s="559"/>
      <c r="G378" s="559"/>
      <c r="H378" s="559"/>
      <c r="I378" s="560"/>
      <c r="J378" s="474" t="s">
        <v>566</v>
      </c>
      <c r="K378" s="231"/>
    </row>
    <row r="379" spans="1:11" s="220" customFormat="1" x14ac:dyDescent="0.2">
      <c r="A379" s="568"/>
      <c r="B379" s="570"/>
      <c r="C379" s="571"/>
      <c r="D379" s="571"/>
      <c r="E379" s="571"/>
      <c r="F379" s="571"/>
      <c r="G379" s="571"/>
      <c r="H379" s="571"/>
      <c r="I379" s="572"/>
      <c r="J379" s="475"/>
      <c r="K379" s="231"/>
    </row>
    <row r="380" spans="1:11" s="220" customFormat="1" ht="14.45" customHeight="1" x14ac:dyDescent="0.2">
      <c r="A380" s="568"/>
      <c r="B380" s="573"/>
      <c r="C380" s="574"/>
      <c r="D380" s="574"/>
      <c r="E380" s="574"/>
      <c r="F380" s="574"/>
      <c r="G380" s="574"/>
      <c r="H380" s="574"/>
      <c r="I380" s="575"/>
      <c r="J380" s="476"/>
      <c r="K380" s="231"/>
    </row>
    <row r="381" spans="1:11" s="220" customFormat="1" ht="14.45" customHeight="1" x14ac:dyDescent="0.2">
      <c r="A381" s="568"/>
      <c r="B381" s="573"/>
      <c r="C381" s="574"/>
      <c r="D381" s="574"/>
      <c r="E381" s="574"/>
      <c r="F381" s="574"/>
      <c r="G381" s="574"/>
      <c r="H381" s="574"/>
      <c r="I381" s="575"/>
      <c r="J381" s="476"/>
      <c r="K381" s="231"/>
    </row>
    <row r="382" spans="1:11" s="220" customFormat="1" ht="14.45" customHeight="1" x14ac:dyDescent="0.2">
      <c r="A382" s="568"/>
      <c r="B382" s="638"/>
      <c r="C382" s="639"/>
      <c r="D382" s="639"/>
      <c r="E382" s="639"/>
      <c r="F382" s="639"/>
      <c r="G382" s="639"/>
      <c r="H382" s="639"/>
      <c r="I382" s="640"/>
      <c r="J382" s="247"/>
      <c r="K382" s="231"/>
    </row>
    <row r="383" spans="1:11" s="220" customFormat="1" ht="14.45" customHeight="1" x14ac:dyDescent="0.2">
      <c r="A383" s="568"/>
      <c r="B383" s="641" t="s">
        <v>567</v>
      </c>
      <c r="C383" s="547" t="s">
        <v>568</v>
      </c>
      <c r="D383" s="548"/>
      <c r="E383" s="548"/>
      <c r="F383" s="548"/>
      <c r="G383" s="548"/>
      <c r="H383" s="548"/>
      <c r="I383" s="643"/>
      <c r="J383" s="477" t="s">
        <v>401</v>
      </c>
      <c r="K383" s="231"/>
    </row>
    <row r="384" spans="1:11" s="220" customFormat="1" ht="14.45" customHeight="1" x14ac:dyDescent="0.2">
      <c r="A384" s="568"/>
      <c r="B384" s="642"/>
      <c r="C384" s="644"/>
      <c r="D384" s="559"/>
      <c r="E384" s="559"/>
      <c r="F384" s="559"/>
      <c r="G384" s="559"/>
      <c r="H384" s="559"/>
      <c r="I384" s="560"/>
      <c r="J384" s="474" t="s">
        <v>569</v>
      </c>
      <c r="K384" s="231"/>
    </row>
    <row r="385" spans="1:12" s="220" customFormat="1" ht="14.45" customHeight="1" x14ac:dyDescent="0.2">
      <c r="A385" s="568"/>
      <c r="B385" s="557"/>
      <c r="C385" s="582"/>
      <c r="D385" s="582"/>
      <c r="E385" s="582"/>
      <c r="F385" s="582"/>
      <c r="G385" s="582"/>
      <c r="H385" s="582"/>
      <c r="I385" s="583"/>
      <c r="J385" s="476"/>
      <c r="K385" s="231"/>
    </row>
    <row r="386" spans="1:12" s="220" customFormat="1" ht="14.45" customHeight="1" x14ac:dyDescent="0.2">
      <c r="A386" s="568"/>
      <c r="B386" s="557"/>
      <c r="C386" s="506"/>
      <c r="D386" s="506"/>
      <c r="E386" s="506"/>
      <c r="F386" s="506"/>
      <c r="G386" s="506"/>
      <c r="H386" s="506"/>
      <c r="I386" s="558"/>
      <c r="J386" s="476"/>
      <c r="K386" s="231"/>
    </row>
    <row r="387" spans="1:12" s="220" customFormat="1" ht="14.45" customHeight="1" x14ac:dyDescent="0.2">
      <c r="A387" s="568"/>
      <c r="B387" s="557"/>
      <c r="C387" s="506"/>
      <c r="D387" s="506"/>
      <c r="E387" s="506"/>
      <c r="F387" s="506"/>
      <c r="G387" s="506"/>
      <c r="H387" s="506"/>
      <c r="I387" s="558"/>
      <c r="J387" s="476"/>
      <c r="K387" s="231"/>
    </row>
    <row r="388" spans="1:12" s="220" customFormat="1" ht="14.45" customHeight="1" x14ac:dyDescent="0.2">
      <c r="A388" s="568"/>
      <c r="B388" s="557"/>
      <c r="C388" s="506"/>
      <c r="D388" s="506"/>
      <c r="E388" s="506"/>
      <c r="F388" s="506"/>
      <c r="G388" s="506"/>
      <c r="H388" s="506"/>
      <c r="I388" s="558"/>
      <c r="J388" s="476"/>
      <c r="K388" s="231"/>
    </row>
    <row r="389" spans="1:12" s="220" customFormat="1" ht="14.45" customHeight="1" thickBot="1" x14ac:dyDescent="0.25">
      <c r="A389" s="569"/>
      <c r="B389" s="635"/>
      <c r="C389" s="636"/>
      <c r="D389" s="636"/>
      <c r="E389" s="636"/>
      <c r="F389" s="636"/>
      <c r="G389" s="636"/>
      <c r="H389" s="636"/>
      <c r="I389" s="637"/>
      <c r="J389" s="478"/>
      <c r="K389" s="248"/>
    </row>
    <row r="390" spans="1:12" s="220" customFormat="1" ht="14.45" customHeight="1" x14ac:dyDescent="0.2">
      <c r="A390" s="285" t="s">
        <v>495</v>
      </c>
      <c r="B390" s="249"/>
      <c r="C390" s="249"/>
      <c r="D390" s="249"/>
      <c r="E390" s="249"/>
      <c r="F390" s="249"/>
      <c r="G390" s="249"/>
      <c r="H390" s="249"/>
      <c r="I390" s="249"/>
      <c r="J390" s="249"/>
      <c r="K390" s="250"/>
    </row>
    <row r="391" spans="1:12" s="220" customFormat="1" ht="14.45" customHeight="1" x14ac:dyDescent="0.2">
      <c r="K391" s="251"/>
    </row>
    <row r="392" spans="1:12" s="220" customFormat="1" ht="14.45" customHeight="1" x14ac:dyDescent="0.2">
      <c r="C392" s="252" t="s">
        <v>737</v>
      </c>
      <c r="J392" s="386">
        <f ca="1">J359</f>
        <v>2873.3153770747244</v>
      </c>
      <c r="K392" s="251"/>
    </row>
    <row r="393" spans="1:12" s="220" customFormat="1" ht="14.45" customHeight="1" x14ac:dyDescent="0.2">
      <c r="K393" s="251"/>
    </row>
    <row r="394" spans="1:12" s="220" customFormat="1" ht="14.45" customHeight="1" x14ac:dyDescent="0.2">
      <c r="K394" s="251"/>
    </row>
    <row r="395" spans="1:12" s="220" customFormat="1" ht="15" customHeight="1" x14ac:dyDescent="0.2">
      <c r="K395" s="251"/>
    </row>
    <row r="396" spans="1:12" s="220" customFormat="1" ht="14.45" customHeight="1" x14ac:dyDescent="0.2">
      <c r="B396" s="210"/>
      <c r="K396" s="251"/>
    </row>
    <row r="397" spans="1:12" s="220" customFormat="1" ht="16.5" customHeight="1" x14ac:dyDescent="0.2">
      <c r="C397" s="173"/>
      <c r="D397" s="532" t="s">
        <v>633</v>
      </c>
      <c r="E397" s="532"/>
      <c r="F397" s="532"/>
      <c r="G397" s="532"/>
      <c r="H397" s="532"/>
      <c r="I397" s="532"/>
      <c r="J397" s="532"/>
      <c r="K397" s="175"/>
      <c r="L397" s="175"/>
    </row>
    <row r="398" spans="1:12" s="220" customFormat="1" ht="14.45" customHeight="1" x14ac:dyDescent="0.2">
      <c r="B398" s="210"/>
      <c r="H398" s="253"/>
      <c r="I398" s="253"/>
      <c r="J398" s="253"/>
      <c r="K398" s="254"/>
    </row>
    <row r="399" spans="1:12" s="220" customFormat="1" ht="14.45" customHeight="1" x14ac:dyDescent="0.2">
      <c r="B399" s="210"/>
      <c r="H399" s="253"/>
      <c r="I399" s="253"/>
      <c r="J399" s="253"/>
      <c r="K399" s="213"/>
    </row>
    <row r="400" spans="1:12" s="220" customFormat="1" ht="14.45" customHeight="1" x14ac:dyDescent="0.2">
      <c r="B400" s="171" t="s">
        <v>19</v>
      </c>
      <c r="C400" s="167"/>
      <c r="D400" s="167"/>
      <c r="E400" s="167"/>
      <c r="F400" s="167"/>
      <c r="G400" s="167"/>
      <c r="H400" s="167"/>
      <c r="I400" s="167"/>
      <c r="J400" s="167"/>
      <c r="K400" s="250"/>
    </row>
    <row r="401" spans="2:12" s="220" customFormat="1" ht="14.45" customHeight="1" x14ac:dyDescent="0.2">
      <c r="B401" s="167"/>
      <c r="C401" s="167"/>
      <c r="D401" s="167"/>
      <c r="E401" s="167"/>
      <c r="F401" s="167"/>
      <c r="G401" s="167"/>
      <c r="H401" s="167"/>
      <c r="I401" s="167"/>
      <c r="J401" s="167"/>
      <c r="K401" s="251"/>
    </row>
    <row r="402" spans="2:12" s="220" customFormat="1" ht="14.45" customHeight="1" x14ac:dyDescent="0.2">
      <c r="B402" s="167"/>
      <c r="C402" s="167" t="s">
        <v>20</v>
      </c>
      <c r="D402" s="167"/>
      <c r="E402" s="167"/>
      <c r="F402" s="167"/>
      <c r="G402" s="167"/>
      <c r="H402" s="167"/>
      <c r="I402" s="167"/>
      <c r="J402" s="167"/>
      <c r="K402" s="251"/>
    </row>
    <row r="403" spans="2:12" s="220" customFormat="1" ht="14.45" customHeight="1" x14ac:dyDescent="0.2">
      <c r="B403" s="167"/>
      <c r="C403" s="167"/>
      <c r="D403" s="167"/>
      <c r="E403" s="167"/>
      <c r="F403" s="167"/>
      <c r="G403" s="167"/>
      <c r="H403" s="167"/>
      <c r="I403" s="167"/>
      <c r="J403" s="167"/>
      <c r="K403" s="251"/>
    </row>
    <row r="404" spans="2:12" s="220" customFormat="1" ht="14.45" customHeight="1" x14ac:dyDescent="0.2">
      <c r="B404" s="167"/>
      <c r="C404" s="167" t="s">
        <v>41</v>
      </c>
      <c r="D404" s="167"/>
      <c r="E404" s="167"/>
      <c r="F404" s="167"/>
      <c r="G404" s="167"/>
      <c r="H404" s="167"/>
      <c r="I404" s="167"/>
      <c r="J404" s="167"/>
      <c r="K404" s="251"/>
    </row>
    <row r="405" spans="2:12" s="220" customFormat="1" ht="14.45" customHeight="1" x14ac:dyDescent="0.2">
      <c r="B405" s="167"/>
      <c r="C405" s="167"/>
      <c r="D405" s="167"/>
      <c r="E405" s="167"/>
      <c r="F405" s="167"/>
      <c r="G405" s="167"/>
      <c r="H405" s="167"/>
      <c r="I405" s="167"/>
      <c r="J405" s="167"/>
      <c r="K405" s="251"/>
    </row>
    <row r="406" spans="2:12" s="220" customFormat="1" ht="14.45" customHeight="1" x14ac:dyDescent="0.2">
      <c r="B406" s="166"/>
      <c r="C406" s="166"/>
      <c r="D406" s="166"/>
      <c r="E406" s="166"/>
      <c r="F406" s="166"/>
      <c r="G406" s="166"/>
      <c r="H406" s="166"/>
      <c r="I406" s="167"/>
      <c r="J406" s="167"/>
      <c r="K406" s="255"/>
    </row>
    <row r="407" spans="2:12" s="220" customFormat="1" ht="14.45" customHeight="1" x14ac:dyDescent="0.2">
      <c r="B407" s="171" t="s">
        <v>634</v>
      </c>
      <c r="D407" s="166"/>
      <c r="E407" s="166"/>
      <c r="F407" s="166"/>
      <c r="G407" s="166"/>
      <c r="H407" s="166"/>
      <c r="I407" s="167"/>
      <c r="J407" s="167"/>
    </row>
    <row r="408" spans="2:12" s="220" customFormat="1" ht="14.45" customHeight="1" x14ac:dyDescent="0.2">
      <c r="B408" s="166"/>
      <c r="C408" s="171"/>
      <c r="D408" s="171"/>
      <c r="E408" s="171"/>
      <c r="F408" s="171"/>
      <c r="G408" s="167"/>
      <c r="H408" s="167"/>
      <c r="I408" s="167"/>
      <c r="J408" s="167"/>
    </row>
    <row r="409" spans="2:12" s="220" customFormat="1" ht="18" customHeight="1" x14ac:dyDescent="0.2">
      <c r="B409" s="201"/>
      <c r="C409" s="167" t="s">
        <v>2</v>
      </c>
      <c r="D409" s="167"/>
      <c r="E409" s="167"/>
      <c r="F409" s="167"/>
      <c r="G409" s="167">
        <f>F261</f>
        <v>100000</v>
      </c>
      <c r="H409" s="167"/>
      <c r="I409" s="167"/>
      <c r="J409" s="167"/>
    </row>
    <row r="410" spans="2:12" s="220" customFormat="1" ht="18" customHeight="1" x14ac:dyDescent="0.2">
      <c r="B410" s="201"/>
      <c r="C410" s="167"/>
      <c r="D410" s="167"/>
      <c r="E410" s="167"/>
      <c r="F410" s="167"/>
      <c r="G410" s="167"/>
      <c r="H410" s="167"/>
      <c r="I410" s="167"/>
      <c r="J410" s="167"/>
    </row>
    <row r="411" spans="2:12" s="220" customFormat="1" ht="18" customHeight="1" x14ac:dyDescent="0.2">
      <c r="B411" s="202" t="s">
        <v>614</v>
      </c>
      <c r="C411" s="167" t="s">
        <v>635</v>
      </c>
      <c r="D411" s="167"/>
      <c r="E411" s="167"/>
      <c r="F411" s="167"/>
      <c r="G411" s="196">
        <f ca="1">E284</f>
        <v>40144.564152835177</v>
      </c>
      <c r="H411" s="167"/>
      <c r="I411" s="167"/>
      <c r="J411" s="167"/>
      <c r="K411" s="253"/>
      <c r="L411" s="253"/>
    </row>
    <row r="412" spans="2:12" s="220" customFormat="1" ht="18" customHeight="1" x14ac:dyDescent="0.2">
      <c r="B412" s="202"/>
      <c r="C412" s="167"/>
      <c r="D412" s="167"/>
      <c r="E412" s="167"/>
      <c r="F412" s="167"/>
      <c r="G412" s="196"/>
      <c r="H412" s="167"/>
      <c r="I412" s="167"/>
      <c r="J412" s="167"/>
      <c r="K412" s="253"/>
      <c r="L412" s="253"/>
    </row>
    <row r="413" spans="2:12" s="479" customFormat="1" ht="24" customHeight="1" x14ac:dyDescent="0.35">
      <c r="B413" s="480" t="s">
        <v>616</v>
      </c>
      <c r="C413" s="481" t="s">
        <v>636</v>
      </c>
      <c r="D413" s="482"/>
      <c r="E413" s="482"/>
      <c r="F413" s="482"/>
      <c r="G413" s="484">
        <f ca="1">SUM(G409:G411)</f>
        <v>140144.56415283517</v>
      </c>
      <c r="H413" s="482"/>
      <c r="I413" s="482"/>
      <c r="J413" s="482"/>
      <c r="K413" s="483"/>
      <c r="L413" s="483"/>
    </row>
    <row r="414" spans="2:12" s="220" customFormat="1" ht="18" customHeight="1" x14ac:dyDescent="0.2">
      <c r="B414" s="202"/>
      <c r="C414" s="171"/>
      <c r="D414" s="167"/>
      <c r="E414" s="167"/>
      <c r="F414" s="167"/>
      <c r="G414" s="196"/>
      <c r="H414" s="167"/>
      <c r="I414" s="167"/>
      <c r="J414" s="167"/>
      <c r="K414" s="253"/>
      <c r="L414" s="253"/>
    </row>
    <row r="415" spans="2:12" s="220" customFormat="1" ht="18" customHeight="1" x14ac:dyDescent="0.2">
      <c r="B415" s="202" t="s">
        <v>619</v>
      </c>
      <c r="C415" s="167" t="s">
        <v>637</v>
      </c>
      <c r="D415" s="167"/>
      <c r="E415" s="167"/>
      <c r="F415" s="167"/>
      <c r="G415" s="196">
        <f ca="1">E284-H286</f>
        <v>36290.979979353615</v>
      </c>
      <c r="H415" s="167" t="s">
        <v>638</v>
      </c>
      <c r="I415" s="167"/>
      <c r="J415" s="167"/>
      <c r="K415" s="253"/>
      <c r="L415" s="253"/>
    </row>
    <row r="416" spans="2:12" s="220" customFormat="1" ht="18" customHeight="1" x14ac:dyDescent="0.2">
      <c r="B416" s="202"/>
      <c r="C416" s="167"/>
      <c r="D416" s="167"/>
      <c r="E416" s="167"/>
      <c r="F416" s="167"/>
      <c r="G416" s="196"/>
      <c r="H416" s="167"/>
      <c r="I416" s="167"/>
      <c r="J416" s="167"/>
      <c r="K416" s="253"/>
      <c r="L416" s="253"/>
    </row>
    <row r="417" spans="2:21" s="220" customFormat="1" ht="24" customHeight="1" x14ac:dyDescent="0.2">
      <c r="B417" s="202" t="s">
        <v>616</v>
      </c>
      <c r="C417" s="171" t="s">
        <v>739</v>
      </c>
      <c r="D417" s="167"/>
      <c r="E417" s="167"/>
      <c r="F417" s="167"/>
      <c r="G417" s="396">
        <f ca="1">G413-G415</f>
        <v>103853.58417348156</v>
      </c>
      <c r="H417" s="167"/>
      <c r="I417" s="167"/>
      <c r="J417" s="167"/>
      <c r="K417" s="253"/>
      <c r="L417" s="253"/>
    </row>
    <row r="418" spans="2:21" s="220" customFormat="1" ht="14.45" customHeight="1" x14ac:dyDescent="0.2">
      <c r="B418" s="167"/>
      <c r="C418" s="167"/>
      <c r="D418" s="167"/>
      <c r="E418" s="167"/>
      <c r="F418" s="167"/>
      <c r="G418" s="167"/>
      <c r="H418" s="167"/>
      <c r="I418" s="167"/>
      <c r="J418" s="167"/>
      <c r="K418" s="253"/>
      <c r="L418" s="253"/>
    </row>
    <row r="419" spans="2:21" s="220" customFormat="1" ht="18" x14ac:dyDescent="0.2">
      <c r="B419" s="167"/>
      <c r="C419" s="167"/>
      <c r="D419" s="167"/>
      <c r="E419" s="167"/>
      <c r="F419" s="167"/>
      <c r="G419" s="167"/>
      <c r="H419" s="167"/>
      <c r="I419" s="167"/>
    </row>
    <row r="420" spans="2:21" s="220" customFormat="1" ht="18" x14ac:dyDescent="0.2">
      <c r="B420" s="167" t="s">
        <v>40</v>
      </c>
      <c r="C420" s="167"/>
      <c r="D420" s="167"/>
      <c r="E420" s="167"/>
      <c r="F420" s="167"/>
      <c r="G420" s="167"/>
      <c r="H420" s="167"/>
      <c r="I420" s="167"/>
    </row>
    <row r="421" spans="2:21" s="220" customFormat="1" ht="18" x14ac:dyDescent="0.2">
      <c r="B421" s="167"/>
      <c r="C421" s="167"/>
      <c r="D421" s="167"/>
      <c r="E421" s="167"/>
      <c r="F421" s="167"/>
      <c r="G421" s="167"/>
      <c r="H421" s="167"/>
      <c r="I421" s="167"/>
    </row>
    <row r="422" spans="2:21" s="220" customFormat="1" ht="18" x14ac:dyDescent="0.2">
      <c r="C422" s="171" t="s">
        <v>738</v>
      </c>
      <c r="F422" s="167">
        <f>F267</f>
        <v>10000</v>
      </c>
      <c r="I422" s="167"/>
    </row>
    <row r="423" spans="2:21" s="220" customFormat="1" ht="18" x14ac:dyDescent="0.2">
      <c r="I423" s="167"/>
    </row>
    <row r="424" spans="2:21" s="220" customFormat="1" ht="18" x14ac:dyDescent="0.2">
      <c r="C424" s="167" t="s">
        <v>740</v>
      </c>
      <c r="D424" s="167"/>
      <c r="E424" s="167"/>
      <c r="F424" s="167">
        <f ca="1">IF(G417&lt;'ch gerant soc '!B8,G417*0.9,G417-'ch gerant soc '!B8*0.1)</f>
        <v>93468.225756133412</v>
      </c>
      <c r="G424" s="167" t="s">
        <v>21</v>
      </c>
      <c r="H424" s="167"/>
      <c r="I424" s="167"/>
    </row>
    <row r="425" spans="2:21" s="220" customFormat="1" ht="18" x14ac:dyDescent="0.2">
      <c r="B425" s="167"/>
    </row>
    <row r="426" spans="2:21" s="220" customFormat="1" ht="21" x14ac:dyDescent="0.2">
      <c r="B426" s="202" t="s">
        <v>614</v>
      </c>
      <c r="C426" s="167" t="s">
        <v>599</v>
      </c>
      <c r="D426" s="167"/>
      <c r="F426" s="168">
        <f>E129</f>
        <v>30000</v>
      </c>
      <c r="G426" s="167" t="s">
        <v>598</v>
      </c>
      <c r="H426" s="167"/>
      <c r="I426" s="167"/>
      <c r="J426" s="167"/>
      <c r="K426" s="171"/>
      <c r="L426" s="167"/>
      <c r="M426" s="167"/>
      <c r="N426" s="166"/>
      <c r="O426" s="166"/>
      <c r="P426" s="167"/>
      <c r="Q426" s="167"/>
      <c r="R426" s="167"/>
    </row>
    <row r="427" spans="2:21" s="220" customFormat="1" ht="18" x14ac:dyDescent="0.2">
      <c r="B427" s="167"/>
      <c r="C427" s="167"/>
      <c r="D427" s="167"/>
      <c r="E427" s="167"/>
      <c r="F427" s="167"/>
      <c r="G427" s="203"/>
      <c r="H427" s="167"/>
      <c r="I427" s="167"/>
      <c r="J427" s="167"/>
      <c r="K427" s="167"/>
      <c r="M427" s="253"/>
      <c r="N427" s="253"/>
    </row>
    <row r="428" spans="2:21" s="220" customFormat="1" ht="21" x14ac:dyDescent="0.2">
      <c r="B428" s="202" t="s">
        <v>614</v>
      </c>
      <c r="C428" s="167" t="s">
        <v>741</v>
      </c>
      <c r="D428" s="167"/>
      <c r="E428" s="167"/>
      <c r="F428" s="167">
        <f>F422*60%</f>
        <v>6000</v>
      </c>
      <c r="G428" s="167"/>
      <c r="H428" s="167"/>
      <c r="I428" s="167"/>
      <c r="J428" s="167"/>
      <c r="K428" s="167"/>
      <c r="M428" s="253"/>
      <c r="N428" s="253"/>
    </row>
    <row r="429" spans="2:21" s="220" customFormat="1" ht="21" x14ac:dyDescent="0.2">
      <c r="B429" s="202" t="s">
        <v>619</v>
      </c>
      <c r="C429" s="167" t="s">
        <v>22</v>
      </c>
      <c r="D429" s="167"/>
      <c r="E429" s="167"/>
      <c r="F429" s="167">
        <f>IF(E134&gt;=2,IF(F428&gt;3050,3050,F428),IF(F428&gt;1525,1525,F428))</f>
        <v>3050</v>
      </c>
      <c r="G429" s="168"/>
      <c r="H429" s="167"/>
      <c r="I429" s="167"/>
      <c r="J429" s="167"/>
      <c r="K429" s="167"/>
    </row>
    <row r="430" spans="2:21" s="220" customFormat="1" ht="21" x14ac:dyDescent="0.2">
      <c r="B430" s="202" t="s">
        <v>619</v>
      </c>
      <c r="C430" s="167" t="s">
        <v>23</v>
      </c>
      <c r="D430" s="256"/>
      <c r="E430" s="256"/>
      <c r="F430" s="196">
        <f>F422*5.8%</f>
        <v>580</v>
      </c>
      <c r="G430" s="167"/>
      <c r="H430" s="167"/>
      <c r="I430" s="167"/>
      <c r="J430" s="167"/>
      <c r="K430" s="167"/>
    </row>
    <row r="431" spans="2:21" s="220" customFormat="1" ht="18" x14ac:dyDescent="0.2">
      <c r="B431" s="167"/>
      <c r="C431" s="167"/>
      <c r="D431" s="167"/>
      <c r="E431" s="167"/>
      <c r="F431" s="485"/>
      <c r="G431" s="167"/>
      <c r="H431" s="167"/>
      <c r="I431" s="167"/>
      <c r="J431" s="167"/>
      <c r="K431" s="167"/>
    </row>
    <row r="432" spans="2:21" s="220" customFormat="1" ht="24" customHeight="1" x14ac:dyDescent="0.2">
      <c r="B432" s="202" t="s">
        <v>616</v>
      </c>
      <c r="C432" s="171" t="s">
        <v>742</v>
      </c>
      <c r="D432" s="167"/>
      <c r="E432" s="167"/>
      <c r="F432" s="171">
        <f ca="1">F424+F426+F428-F429-F430</f>
        <v>125838.22575613341</v>
      </c>
      <c r="G432" s="167"/>
      <c r="H432" s="167"/>
      <c r="I432" s="167"/>
      <c r="J432" s="167"/>
      <c r="K432" s="167"/>
      <c r="N432" s="257"/>
      <c r="O432" s="196"/>
      <c r="P432" s="196"/>
      <c r="Q432" s="196"/>
      <c r="R432" s="196"/>
      <c r="S432" s="196"/>
      <c r="T432" s="196"/>
      <c r="U432" s="196"/>
    </row>
    <row r="433" spans="1:21" s="220" customFormat="1" ht="24" customHeight="1" x14ac:dyDescent="0.2">
      <c r="B433" s="167"/>
      <c r="C433" s="167" t="s">
        <v>657</v>
      </c>
      <c r="D433" s="167"/>
      <c r="E433" s="199"/>
      <c r="F433" s="199">
        <f>E134</f>
        <v>2</v>
      </c>
      <c r="G433" s="167"/>
      <c r="H433" s="167"/>
      <c r="I433" s="167"/>
      <c r="J433" s="167"/>
      <c r="K433" s="167"/>
      <c r="N433" s="196"/>
      <c r="O433" s="196"/>
      <c r="P433" s="196"/>
      <c r="Q433" s="196"/>
      <c r="R433" s="196"/>
      <c r="S433" s="196"/>
      <c r="T433" s="196"/>
      <c r="U433" s="196"/>
    </row>
    <row r="434" spans="1:21" s="220" customFormat="1" ht="18" x14ac:dyDescent="0.2">
      <c r="B434" s="167"/>
      <c r="C434" s="167"/>
      <c r="D434" s="167"/>
      <c r="E434" s="167"/>
      <c r="F434" s="167"/>
      <c r="G434" s="167"/>
      <c r="H434" s="167"/>
      <c r="I434" s="167"/>
      <c r="J434" s="167"/>
      <c r="K434" s="167"/>
      <c r="N434" s="196"/>
      <c r="O434" s="196"/>
      <c r="P434" s="196"/>
      <c r="Q434" s="196"/>
      <c r="R434" s="258"/>
      <c r="S434" s="196"/>
      <c r="T434" s="196"/>
      <c r="U434" s="196"/>
    </row>
    <row r="435" spans="1:21" s="302" customFormat="1" ht="22.5" customHeight="1" x14ac:dyDescent="0.2">
      <c r="B435" s="281"/>
      <c r="C435" s="303" t="s">
        <v>689</v>
      </c>
      <c r="D435" s="281"/>
      <c r="E435" s="281"/>
      <c r="F435" s="385">
        <f ca="1">IF(F433=1,ir!C34,IF(F433=1.5,ir!D34,IF(F433=2,ir!E34,IF(F433=2.5,ir!F34,IF(F433=3,ir!G34,IF(F433=3.5,ir!H34,IF(F433=4,ir!I34,IF(F433=4.5,ir!J34,ir!K34))))))))</f>
        <v>26618.467726840019</v>
      </c>
      <c r="G435" s="634" t="s">
        <v>750</v>
      </c>
      <c r="H435" s="634"/>
      <c r="I435" s="634"/>
      <c r="J435" s="634"/>
      <c r="K435" s="634"/>
      <c r="L435" s="634"/>
      <c r="N435" s="304"/>
      <c r="O435" s="304"/>
      <c r="P435" s="304"/>
      <c r="Q435" s="304"/>
      <c r="R435" s="305"/>
      <c r="S435" s="304"/>
      <c r="T435" s="304"/>
      <c r="U435" s="304"/>
    </row>
    <row r="436" spans="1:21" s="220" customFormat="1" ht="18" x14ac:dyDescent="0.2">
      <c r="B436" s="167"/>
      <c r="C436" s="171"/>
      <c r="D436" s="167"/>
      <c r="E436" s="167"/>
      <c r="F436" s="167"/>
      <c r="G436" s="167"/>
      <c r="H436" s="167"/>
      <c r="I436" s="167"/>
      <c r="J436" s="167"/>
      <c r="K436" s="167"/>
      <c r="N436" s="196"/>
      <c r="O436" s="196"/>
      <c r="P436" s="196"/>
      <c r="Q436" s="196"/>
      <c r="R436" s="258"/>
      <c r="S436" s="196"/>
      <c r="T436" s="196"/>
      <c r="U436" s="196"/>
    </row>
    <row r="437" spans="1:21" s="220" customFormat="1" ht="18" x14ac:dyDescent="0.2">
      <c r="B437" s="167"/>
      <c r="C437" s="171"/>
      <c r="D437" s="167"/>
      <c r="E437" s="167"/>
      <c r="F437" s="167"/>
      <c r="G437" s="167"/>
      <c r="H437" s="167"/>
      <c r="I437" s="167"/>
      <c r="J437" s="167"/>
      <c r="K437" s="167"/>
      <c r="N437" s="196"/>
      <c r="O437" s="196"/>
      <c r="P437" s="196"/>
      <c r="Q437" s="196"/>
      <c r="R437" s="258"/>
      <c r="S437" s="196"/>
      <c r="T437" s="196"/>
      <c r="U437" s="196"/>
    </row>
    <row r="438" spans="1:21" s="220" customFormat="1" ht="18" x14ac:dyDescent="0.2">
      <c r="J438" s="167"/>
      <c r="K438" s="167"/>
      <c r="N438" s="196"/>
      <c r="O438" s="196"/>
      <c r="P438" s="196"/>
      <c r="Q438" s="196"/>
      <c r="R438" s="258"/>
      <c r="S438" s="196"/>
      <c r="T438" s="196"/>
      <c r="U438" s="196"/>
    </row>
    <row r="439" spans="1:21" s="220" customFormat="1" ht="40.5" customHeight="1" x14ac:dyDescent="0.2">
      <c r="B439" s="552" t="s">
        <v>24</v>
      </c>
      <c r="C439" s="552"/>
      <c r="D439" s="552"/>
      <c r="E439" s="552"/>
      <c r="F439" s="552"/>
      <c r="G439" s="552"/>
      <c r="H439" s="552"/>
      <c r="I439" s="552"/>
      <c r="J439" s="552"/>
      <c r="K439" s="552"/>
      <c r="L439" s="552"/>
      <c r="N439" s="196"/>
      <c r="O439" s="196"/>
      <c r="P439" s="196"/>
      <c r="Q439" s="196"/>
      <c r="R439" s="258"/>
      <c r="S439" s="196"/>
      <c r="T439" s="196"/>
      <c r="U439" s="196"/>
    </row>
    <row r="440" spans="1:21" s="220" customFormat="1" ht="10.5" customHeight="1" x14ac:dyDescent="0.2">
      <c r="B440" s="167"/>
      <c r="C440" s="171"/>
      <c r="D440" s="167"/>
      <c r="E440" s="167"/>
      <c r="F440" s="167"/>
      <c r="G440" s="167"/>
      <c r="H440" s="167"/>
      <c r="I440" s="167"/>
      <c r="J440" s="167"/>
      <c r="K440" s="167"/>
      <c r="N440" s="196"/>
      <c r="O440" s="196"/>
      <c r="P440" s="196"/>
      <c r="Q440" s="196"/>
      <c r="R440" s="258"/>
      <c r="S440" s="196"/>
      <c r="T440" s="196"/>
      <c r="U440" s="196"/>
    </row>
    <row r="441" spans="1:21" s="220" customFormat="1" ht="10.5" customHeight="1" x14ac:dyDescent="0.2">
      <c r="B441" s="167"/>
      <c r="C441" s="167"/>
      <c r="D441" s="167"/>
      <c r="E441" s="167"/>
      <c r="F441" s="167"/>
      <c r="G441" s="167"/>
      <c r="H441" s="167"/>
      <c r="I441" s="167"/>
      <c r="J441" s="167"/>
      <c r="K441" s="167"/>
      <c r="N441" s="196"/>
      <c r="O441" s="196"/>
      <c r="P441" s="196"/>
      <c r="Q441" s="196"/>
      <c r="R441" s="196"/>
      <c r="S441" s="196"/>
      <c r="T441" s="196"/>
      <c r="U441" s="196"/>
    </row>
    <row r="442" spans="1:21" s="220" customFormat="1" ht="18" x14ac:dyDescent="0.2">
      <c r="B442" s="167" t="s">
        <v>25</v>
      </c>
      <c r="C442" s="167"/>
      <c r="D442" s="167"/>
      <c r="E442" s="167"/>
      <c r="F442" s="167"/>
      <c r="G442" s="167"/>
      <c r="H442" s="167"/>
      <c r="I442" s="167"/>
      <c r="J442" s="167"/>
      <c r="K442" s="167"/>
      <c r="N442" s="196"/>
      <c r="O442" s="196"/>
      <c r="P442" s="196"/>
      <c r="Q442" s="196"/>
      <c r="R442" s="196"/>
      <c r="S442" s="196"/>
      <c r="T442" s="196"/>
      <c r="U442" s="196"/>
    </row>
    <row r="443" spans="1:21" s="220" customFormat="1" ht="18" x14ac:dyDescent="0.2">
      <c r="B443" s="167"/>
      <c r="C443" s="167"/>
      <c r="D443" s="167"/>
      <c r="E443" s="167"/>
      <c r="F443" s="167"/>
      <c r="G443" s="167"/>
      <c r="H443" s="167"/>
      <c r="I443" s="167"/>
      <c r="J443" s="167"/>
      <c r="K443" s="167"/>
      <c r="N443" s="196"/>
      <c r="O443" s="196"/>
      <c r="P443" s="170"/>
      <c r="Q443" s="196"/>
      <c r="R443" s="170"/>
      <c r="S443" s="196"/>
      <c r="T443" s="196"/>
      <c r="U443" s="196"/>
    </row>
    <row r="444" spans="1:21" s="220" customFormat="1" ht="18" x14ac:dyDescent="0.2">
      <c r="B444" s="167"/>
      <c r="C444" s="167" t="s">
        <v>740</v>
      </c>
      <c r="D444" s="167"/>
      <c r="E444" s="167"/>
      <c r="F444" s="167">
        <f ca="1">IF(G417&lt;'ch gerant soc '!B8,G417*0.9,G417-'ch gerant soc '!B8*0.1)</f>
        <v>93468.225756133412</v>
      </c>
      <c r="G444" s="167" t="s">
        <v>21</v>
      </c>
      <c r="H444" s="167"/>
      <c r="I444" s="167"/>
      <c r="J444" s="167"/>
      <c r="K444" s="167"/>
      <c r="N444" s="196"/>
      <c r="O444" s="196"/>
      <c r="P444" s="196"/>
      <c r="Q444" s="196"/>
      <c r="R444" s="196"/>
      <c r="S444" s="196"/>
      <c r="T444" s="196"/>
      <c r="U444" s="196"/>
    </row>
    <row r="445" spans="1:21" s="220" customFormat="1" ht="18" x14ac:dyDescent="0.2">
      <c r="B445" s="167"/>
      <c r="C445" s="167"/>
      <c r="D445" s="167"/>
      <c r="E445" s="167"/>
      <c r="F445" s="167"/>
      <c r="G445" s="167"/>
      <c r="H445" s="167"/>
      <c r="I445" s="167"/>
      <c r="J445" s="167"/>
      <c r="K445" s="167"/>
      <c r="N445" s="196"/>
      <c r="O445" s="196"/>
      <c r="P445" s="196"/>
      <c r="Q445" s="196"/>
      <c r="R445" s="196"/>
      <c r="S445" s="196"/>
      <c r="T445" s="196"/>
      <c r="U445" s="196"/>
    </row>
    <row r="446" spans="1:21" s="220" customFormat="1" ht="21" x14ac:dyDescent="0.2">
      <c r="A446" s="167"/>
      <c r="B446" s="202" t="s">
        <v>614</v>
      </c>
      <c r="C446" s="167" t="s">
        <v>599</v>
      </c>
      <c r="D446" s="167"/>
      <c r="F446" s="168">
        <f>E129</f>
        <v>30000</v>
      </c>
      <c r="G446" s="167" t="s">
        <v>598</v>
      </c>
      <c r="H446" s="167"/>
      <c r="I446" s="167"/>
      <c r="J446" s="167"/>
      <c r="K446" s="167"/>
      <c r="N446" s="196"/>
      <c r="O446" s="196"/>
      <c r="P446" s="196"/>
      <c r="Q446" s="196"/>
      <c r="R446" s="196"/>
      <c r="S446" s="196"/>
      <c r="T446" s="196"/>
      <c r="U446" s="196"/>
    </row>
    <row r="447" spans="1:21" s="220" customFormat="1" ht="21" x14ac:dyDescent="0.2">
      <c r="A447" s="167"/>
      <c r="B447" s="202"/>
      <c r="C447" s="167"/>
      <c r="D447" s="167"/>
      <c r="F447" s="168"/>
      <c r="G447" s="167"/>
      <c r="H447" s="167"/>
      <c r="I447" s="167"/>
      <c r="J447" s="167"/>
      <c r="K447" s="167"/>
      <c r="N447" s="196"/>
      <c r="O447" s="196"/>
      <c r="P447" s="196"/>
      <c r="Q447" s="196"/>
      <c r="R447" s="196"/>
      <c r="S447" s="196"/>
      <c r="T447" s="196"/>
      <c r="U447" s="196"/>
    </row>
    <row r="448" spans="1:21" s="220" customFormat="1" ht="21" x14ac:dyDescent="0.2">
      <c r="A448" s="167"/>
      <c r="B448" s="202" t="s">
        <v>619</v>
      </c>
      <c r="C448" s="167" t="s">
        <v>3</v>
      </c>
      <c r="D448" s="167"/>
      <c r="E448" s="167"/>
      <c r="F448" s="177">
        <f>F422*5.8%</f>
        <v>580</v>
      </c>
      <c r="G448" s="167"/>
      <c r="H448" s="167"/>
      <c r="I448" s="167"/>
      <c r="J448" s="167"/>
      <c r="K448" s="167"/>
      <c r="N448" s="170"/>
      <c r="O448" s="170"/>
      <c r="P448" s="170"/>
      <c r="Q448" s="170"/>
      <c r="R448" s="170"/>
      <c r="S448" s="196"/>
      <c r="T448" s="170"/>
      <c r="U448" s="196"/>
    </row>
    <row r="449" spans="1:21" s="220" customFormat="1" ht="21" x14ac:dyDescent="0.2">
      <c r="A449" s="167"/>
      <c r="B449" s="202"/>
      <c r="C449" s="167"/>
      <c r="D449" s="167"/>
      <c r="E449" s="167"/>
      <c r="F449" s="486"/>
      <c r="G449" s="167"/>
      <c r="H449" s="167"/>
      <c r="I449" s="167"/>
      <c r="J449" s="167"/>
      <c r="K449" s="167"/>
      <c r="N449" s="170"/>
      <c r="O449" s="170"/>
      <c r="P449" s="170"/>
      <c r="Q449" s="170"/>
      <c r="R449" s="170"/>
      <c r="S449" s="196"/>
      <c r="T449" s="170"/>
      <c r="U449" s="196"/>
    </row>
    <row r="450" spans="1:21" s="220" customFormat="1" ht="30" customHeight="1" x14ac:dyDescent="0.2">
      <c r="A450" s="167"/>
      <c r="B450" s="202" t="s">
        <v>616</v>
      </c>
      <c r="C450" s="167" t="s">
        <v>742</v>
      </c>
      <c r="D450" s="167"/>
      <c r="E450" s="167"/>
      <c r="F450" s="168">
        <f ca="1">F444+F446-F448</f>
        <v>122888.22575613341</v>
      </c>
      <c r="G450" s="167"/>
      <c r="H450" s="167"/>
      <c r="I450" s="167"/>
      <c r="J450" s="167"/>
      <c r="K450" s="167"/>
      <c r="N450" s="196"/>
      <c r="O450" s="196"/>
      <c r="P450" s="196"/>
      <c r="Q450" s="196"/>
      <c r="R450" s="196"/>
      <c r="S450" s="196"/>
      <c r="T450" s="196"/>
      <c r="U450" s="196"/>
    </row>
    <row r="451" spans="1:21" s="220" customFormat="1" ht="21" x14ac:dyDescent="0.2">
      <c r="A451" s="167"/>
      <c r="B451" s="202"/>
      <c r="C451" s="167"/>
      <c r="D451" s="167"/>
      <c r="E451" s="167"/>
      <c r="F451" s="168"/>
      <c r="G451" s="167"/>
      <c r="H451" s="167"/>
      <c r="I451" s="167"/>
      <c r="J451" s="167"/>
      <c r="K451" s="167"/>
      <c r="N451" s="196"/>
      <c r="O451" s="196"/>
      <c r="P451" s="196"/>
      <c r="Q451" s="196"/>
      <c r="R451" s="196"/>
      <c r="S451" s="196"/>
      <c r="T451" s="196"/>
      <c r="U451" s="196"/>
    </row>
    <row r="452" spans="1:21" s="220" customFormat="1" ht="18" x14ac:dyDescent="0.2">
      <c r="A452" s="167"/>
      <c r="B452" s="167"/>
      <c r="C452" s="167" t="s">
        <v>657</v>
      </c>
      <c r="D452" s="167"/>
      <c r="E452" s="199"/>
      <c r="F452" s="199">
        <f>E134</f>
        <v>2</v>
      </c>
      <c r="G452" s="167"/>
      <c r="H452" s="167"/>
      <c r="I452" s="167"/>
      <c r="J452" s="167"/>
      <c r="K452" s="167"/>
    </row>
    <row r="453" spans="1:21" s="220" customFormat="1" ht="18" x14ac:dyDescent="0.2">
      <c r="A453" s="167"/>
      <c r="B453" s="167"/>
      <c r="C453" s="167"/>
      <c r="D453" s="167"/>
      <c r="E453" s="167"/>
      <c r="F453" s="167"/>
      <c r="G453" s="167"/>
      <c r="H453" s="167"/>
      <c r="I453" s="167"/>
      <c r="J453" s="167"/>
      <c r="K453" s="167"/>
    </row>
    <row r="454" spans="1:21" s="220" customFormat="1" ht="18" x14ac:dyDescent="0.2">
      <c r="A454" s="167"/>
      <c r="B454" s="167"/>
      <c r="C454" s="171" t="s">
        <v>588</v>
      </c>
      <c r="D454" s="167"/>
      <c r="E454" s="167"/>
      <c r="F454" s="167">
        <f ca="1">IF(F452=1,ir!C35,IF(F452=1.5,ir!D35,IF(F452=2,ir!E35,IF(F452=2.5,ir!F35,IF(F452=3,ir!G35,IF(F452=3.5,ir!H35,IF(F452=4,ir!I35,IF(F452=4.5,ir!J35,ir!K35))))))))</f>
        <v>25733.467726840019</v>
      </c>
      <c r="G454" s="167"/>
      <c r="H454" s="167"/>
      <c r="I454" s="167"/>
      <c r="J454" s="167"/>
      <c r="K454" s="167"/>
    </row>
    <row r="455" spans="1:21" s="220" customFormat="1" ht="9" customHeight="1" x14ac:dyDescent="0.2">
      <c r="A455" s="167"/>
      <c r="B455" s="167"/>
      <c r="C455" s="171"/>
      <c r="D455" s="167"/>
      <c r="E455" s="167"/>
      <c r="F455" s="167"/>
      <c r="G455" s="167"/>
      <c r="H455" s="167"/>
      <c r="I455" s="167"/>
      <c r="J455" s="167"/>
      <c r="K455" s="167"/>
    </row>
    <row r="456" spans="1:21" s="220" customFormat="1" ht="21" x14ac:dyDescent="0.2">
      <c r="A456" s="167"/>
      <c r="B456" s="202" t="s">
        <v>614</v>
      </c>
      <c r="C456" s="167" t="s">
        <v>639</v>
      </c>
      <c r="D456" s="167"/>
      <c r="E456" s="167"/>
      <c r="F456" s="197">
        <f>F267*19%</f>
        <v>1900</v>
      </c>
      <c r="G456" s="256"/>
      <c r="H456" s="167"/>
      <c r="I456" s="167"/>
      <c r="J456" s="167"/>
      <c r="K456" s="167"/>
    </row>
    <row r="457" spans="1:21" s="220" customFormat="1" ht="9" customHeight="1" x14ac:dyDescent="0.2">
      <c r="A457" s="167"/>
      <c r="B457" s="202"/>
      <c r="C457" s="167"/>
      <c r="D457" s="167"/>
      <c r="E457" s="167"/>
      <c r="F457" s="196"/>
      <c r="G457" s="256"/>
      <c r="H457" s="167"/>
      <c r="I457" s="167"/>
      <c r="J457" s="167"/>
      <c r="K457" s="167"/>
    </row>
    <row r="458" spans="1:21" s="220" customFormat="1" ht="18" x14ac:dyDescent="0.2">
      <c r="A458" s="167"/>
      <c r="C458" s="171" t="s">
        <v>743</v>
      </c>
      <c r="E458" s="167"/>
      <c r="F458" s="297">
        <f ca="1">F454+F456</f>
        <v>27633.467726840019</v>
      </c>
      <c r="G458" s="579" t="s">
        <v>750</v>
      </c>
      <c r="H458" s="579"/>
      <c r="I458" s="579"/>
      <c r="J458" s="579"/>
      <c r="K458" s="579"/>
      <c r="L458" s="579"/>
      <c r="M458" s="579"/>
    </row>
    <row r="459" spans="1:21" s="220" customFormat="1" ht="18" x14ac:dyDescent="0.2">
      <c r="A459" s="167"/>
      <c r="B459" s="167"/>
      <c r="C459" s="167"/>
      <c r="D459" s="167"/>
      <c r="E459" s="167"/>
      <c r="F459" s="167"/>
      <c r="G459" s="167"/>
      <c r="H459" s="167"/>
      <c r="I459" s="167"/>
      <c r="J459" s="167"/>
      <c r="K459" s="167"/>
    </row>
    <row r="460" spans="1:21" s="220" customFormat="1" ht="18" x14ac:dyDescent="0.2">
      <c r="A460" s="167"/>
      <c r="B460" s="167"/>
      <c r="C460" s="171"/>
      <c r="D460" s="171"/>
      <c r="E460" s="167"/>
      <c r="F460" s="167"/>
      <c r="G460" s="167"/>
      <c r="H460" s="167"/>
      <c r="I460" s="167"/>
      <c r="J460" s="167"/>
      <c r="K460" s="167"/>
    </row>
    <row r="461" spans="1:21" s="220" customFormat="1" ht="18" x14ac:dyDescent="0.2">
      <c r="A461" s="167"/>
      <c r="C461" s="167"/>
      <c r="D461" s="260" t="s">
        <v>26</v>
      </c>
      <c r="E461" s="167"/>
      <c r="F461" s="167"/>
      <c r="G461" s="167"/>
      <c r="H461" s="167"/>
      <c r="I461" s="167"/>
      <c r="J461" s="167"/>
      <c r="K461" s="167"/>
    </row>
    <row r="462" spans="1:21" s="220" customFormat="1" ht="18" x14ac:dyDescent="0.2">
      <c r="A462" s="167"/>
      <c r="B462" s="260"/>
      <c r="G462" s="167"/>
      <c r="H462" s="167"/>
      <c r="I462" s="167"/>
      <c r="J462" s="167"/>
      <c r="K462" s="167"/>
      <c r="L462" s="167"/>
    </row>
    <row r="463" spans="1:21" s="220" customFormat="1" ht="18" x14ac:dyDescent="0.2">
      <c r="A463" s="167"/>
      <c r="B463" s="166"/>
      <c r="C463" s="166"/>
      <c r="D463" s="553" t="str">
        <f ca="1">IF(F435&lt;F458,"IR Progressif","Prélèvement libératoire")</f>
        <v>IR Progressif</v>
      </c>
      <c r="E463" s="553"/>
      <c r="F463" s="553"/>
      <c r="G463" s="385">
        <f ca="1">IF(F435&lt;F458,F435,F458)</f>
        <v>26618.467726840019</v>
      </c>
      <c r="H463" s="166"/>
      <c r="I463" s="166"/>
      <c r="J463" s="166"/>
      <c r="K463" s="167"/>
      <c r="L463" s="167"/>
    </row>
    <row r="464" spans="1:21" s="220" customFormat="1" ht="18" x14ac:dyDescent="0.2">
      <c r="A464" s="167"/>
      <c r="B464" s="167"/>
      <c r="C464" s="167"/>
      <c r="D464" s="167"/>
      <c r="E464" s="167"/>
      <c r="F464" s="167"/>
      <c r="G464" s="167"/>
      <c r="H464" s="167"/>
      <c r="I464" s="167"/>
      <c r="J464" s="167"/>
      <c r="K464" s="167"/>
      <c r="L464" s="167"/>
    </row>
    <row r="465" spans="1:23" s="220" customFormat="1" ht="20.25" customHeight="1" x14ac:dyDescent="0.2">
      <c r="A465" s="167"/>
      <c r="K465" s="167"/>
      <c r="L465" s="167"/>
    </row>
    <row r="466" spans="1:23" s="220" customFormat="1" ht="36.75" customHeight="1" x14ac:dyDescent="0.2">
      <c r="A466" s="167"/>
      <c r="K466" s="167"/>
      <c r="L466" s="167"/>
    </row>
    <row r="467" spans="1:23" s="220" customFormat="1" ht="18" x14ac:dyDescent="0.2">
      <c r="A467" s="167"/>
      <c r="C467" s="173"/>
      <c r="D467" s="532" t="s">
        <v>640</v>
      </c>
      <c r="E467" s="532"/>
      <c r="F467" s="532"/>
      <c r="G467" s="532"/>
      <c r="H467" s="532"/>
      <c r="I467" s="532"/>
      <c r="J467" s="532"/>
      <c r="K467" s="175"/>
      <c r="L467" s="175"/>
    </row>
    <row r="468" spans="1:23" s="220" customFormat="1" ht="18" x14ac:dyDescent="0.2">
      <c r="A468" s="167"/>
      <c r="K468" s="167"/>
      <c r="L468" s="167"/>
    </row>
    <row r="469" spans="1:23" s="220" customFormat="1" ht="18" x14ac:dyDescent="0.2">
      <c r="A469" s="167"/>
      <c r="B469" s="170" t="s">
        <v>746</v>
      </c>
      <c r="C469" s="170"/>
      <c r="D469" s="170"/>
      <c r="K469" s="167"/>
      <c r="L469" s="167"/>
    </row>
    <row r="470" spans="1:23" ht="18" x14ac:dyDescent="0.2">
      <c r="A470" s="167"/>
      <c r="K470" s="167"/>
      <c r="L470" s="167"/>
      <c r="M470" s="220"/>
      <c r="N470" s="220"/>
      <c r="O470" s="167"/>
      <c r="P470" s="167"/>
      <c r="Q470" s="167"/>
      <c r="R470" s="167"/>
      <c r="S470" s="167"/>
      <c r="T470" s="167"/>
      <c r="U470" s="167"/>
      <c r="V470" s="167"/>
      <c r="W470" s="167"/>
    </row>
    <row r="471" spans="1:23" ht="18" x14ac:dyDescent="0.2">
      <c r="A471" s="167"/>
      <c r="K471" s="167"/>
      <c r="L471" s="167"/>
      <c r="M471" s="220"/>
      <c r="N471" s="220"/>
      <c r="O471" s="167"/>
      <c r="P471" s="167"/>
      <c r="Q471" s="167"/>
      <c r="R471" s="167"/>
      <c r="S471" s="167"/>
      <c r="T471" s="167"/>
      <c r="U471" s="167"/>
      <c r="V471" s="167"/>
      <c r="W471" s="167"/>
    </row>
    <row r="472" spans="1:23" ht="51.75" customHeight="1" x14ac:dyDescent="0.2">
      <c r="A472" s="167"/>
      <c r="C472" s="205"/>
      <c r="G472" s="487" t="s">
        <v>646</v>
      </c>
      <c r="H472" s="294"/>
      <c r="I472" s="488" t="s">
        <v>687</v>
      </c>
      <c r="J472" s="196"/>
      <c r="K472" s="167"/>
      <c r="L472" s="167"/>
      <c r="M472" s="220"/>
      <c r="N472" s="220"/>
      <c r="O472" s="167"/>
      <c r="P472" s="167"/>
      <c r="Q472" s="167"/>
      <c r="R472" s="167"/>
      <c r="S472" s="167"/>
      <c r="T472" s="167"/>
      <c r="U472" s="167"/>
      <c r="V472" s="167"/>
      <c r="W472" s="167"/>
    </row>
    <row r="473" spans="1:23" ht="18" x14ac:dyDescent="0.2">
      <c r="A473" s="167"/>
      <c r="C473" s="177"/>
      <c r="D473" s="177"/>
      <c r="E473" s="177"/>
      <c r="F473" s="177"/>
      <c r="G473" s="266"/>
      <c r="H473" s="177"/>
      <c r="I473" s="295"/>
      <c r="J473" s="196"/>
      <c r="K473" s="171"/>
      <c r="L473" s="167"/>
      <c r="M473" s="167"/>
      <c r="N473" s="220"/>
      <c r="O473" s="167"/>
      <c r="P473" s="167"/>
      <c r="Q473" s="167"/>
      <c r="R473" s="167"/>
      <c r="S473" s="167"/>
      <c r="T473" s="167"/>
      <c r="U473" s="167"/>
      <c r="V473" s="167"/>
      <c r="W473" s="167"/>
    </row>
    <row r="474" spans="1:23" ht="18" x14ac:dyDescent="0.2">
      <c r="A474" s="167"/>
      <c r="C474" s="177"/>
      <c r="D474" s="289" t="s">
        <v>114</v>
      </c>
      <c r="H474" s="177"/>
      <c r="I474" s="295"/>
      <c r="J474" s="196"/>
      <c r="K474" s="167"/>
      <c r="L474" s="167"/>
      <c r="M474" s="220"/>
      <c r="N474" s="220"/>
      <c r="O474" s="167"/>
      <c r="P474" s="167"/>
      <c r="Q474" s="167"/>
      <c r="R474" s="167"/>
      <c r="S474" s="167"/>
      <c r="T474" s="167"/>
      <c r="U474" s="167"/>
      <c r="V474" s="167"/>
      <c r="W474" s="167"/>
    </row>
    <row r="475" spans="1:23" ht="18" x14ac:dyDescent="0.2">
      <c r="A475" s="167"/>
      <c r="C475" s="177"/>
      <c r="D475" s="292" t="s">
        <v>744</v>
      </c>
      <c r="F475" s="177"/>
      <c r="G475" s="266">
        <f ca="1">J359</f>
        <v>2873.3153770747244</v>
      </c>
      <c r="H475" s="177"/>
      <c r="I475" s="294" t="s">
        <v>619</v>
      </c>
      <c r="J475" s="196"/>
      <c r="K475" s="167"/>
      <c r="L475" s="167"/>
      <c r="M475" s="220"/>
      <c r="N475" s="220"/>
      <c r="O475" s="167"/>
      <c r="P475" s="167"/>
      <c r="Q475" s="167"/>
      <c r="R475" s="167"/>
      <c r="S475" s="167"/>
      <c r="T475" s="167"/>
      <c r="U475" s="167"/>
      <c r="V475" s="167"/>
      <c r="W475" s="167"/>
    </row>
    <row r="476" spans="1:23" ht="18" x14ac:dyDescent="0.2">
      <c r="A476" s="167"/>
      <c r="C476" s="177"/>
      <c r="D476" s="177"/>
      <c r="E476" s="177"/>
      <c r="F476" s="177"/>
      <c r="G476" s="290"/>
      <c r="H476" s="177"/>
      <c r="I476" s="177"/>
      <c r="J476" s="196"/>
      <c r="K476" s="167"/>
      <c r="L476" s="167"/>
      <c r="M476" s="220"/>
      <c r="N476" s="220"/>
      <c r="O476" s="167"/>
      <c r="P476" s="167"/>
      <c r="Q476" s="167"/>
      <c r="R476" s="167"/>
      <c r="S476" s="167"/>
      <c r="T476" s="167"/>
      <c r="U476" s="167"/>
      <c r="V476" s="167"/>
      <c r="W476" s="167"/>
    </row>
    <row r="477" spans="1:23" ht="18" x14ac:dyDescent="0.2">
      <c r="A477" s="167"/>
      <c r="C477" s="177"/>
      <c r="D477" s="289" t="s">
        <v>115</v>
      </c>
      <c r="E477" s="177"/>
      <c r="F477" s="177"/>
      <c r="G477" s="290"/>
      <c r="H477" s="177"/>
      <c r="I477" s="177"/>
      <c r="J477" s="196"/>
      <c r="K477" s="167"/>
      <c r="L477" s="167"/>
      <c r="M477" s="220"/>
      <c r="N477" s="220"/>
      <c r="O477" s="167"/>
      <c r="P477" s="167"/>
      <c r="Q477" s="167"/>
      <c r="R477" s="167"/>
      <c r="S477" s="167"/>
      <c r="T477" s="167"/>
      <c r="U477" s="167"/>
      <c r="V477" s="167"/>
      <c r="W477" s="167"/>
    </row>
    <row r="478" spans="1:23" ht="18" x14ac:dyDescent="0.2">
      <c r="A478" s="167"/>
      <c r="C478" s="177"/>
      <c r="D478" s="292" t="s">
        <v>745</v>
      </c>
      <c r="E478" s="177"/>
      <c r="F478" s="177"/>
      <c r="G478" s="266">
        <f ca="1">E284-F285</f>
        <v>29513.987122541206</v>
      </c>
      <c r="H478" s="177"/>
      <c r="I478" s="177">
        <f ca="1">G144</f>
        <v>31877.557066154048</v>
      </c>
      <c r="J478" s="196"/>
      <c r="K478" s="167"/>
      <c r="L478" s="167"/>
      <c r="M478" s="220"/>
      <c r="N478" s="220"/>
      <c r="O478" s="167"/>
      <c r="P478" s="167"/>
      <c r="Q478" s="167"/>
      <c r="R478" s="167"/>
      <c r="S478" s="167"/>
      <c r="T478" s="167"/>
      <c r="U478" s="167"/>
      <c r="V478" s="167"/>
      <c r="W478" s="167"/>
    </row>
    <row r="479" spans="1:23" ht="18" x14ac:dyDescent="0.2">
      <c r="A479" s="167"/>
      <c r="C479" s="177"/>
      <c r="D479" s="292"/>
      <c r="E479" s="267"/>
      <c r="F479" s="267"/>
      <c r="G479" s="268"/>
      <c r="H479" s="177"/>
      <c r="I479" s="177"/>
      <c r="J479" s="196"/>
      <c r="K479" s="167"/>
      <c r="L479" s="167"/>
      <c r="M479" s="220"/>
      <c r="N479" s="220"/>
      <c r="O479" s="167"/>
      <c r="P479" s="167"/>
      <c r="Q479" s="167"/>
      <c r="R479" s="167"/>
      <c r="S479" s="167"/>
      <c r="T479" s="167"/>
      <c r="U479" s="167"/>
      <c r="V479" s="167"/>
      <c r="W479" s="167"/>
    </row>
    <row r="480" spans="1:23" ht="18" x14ac:dyDescent="0.2">
      <c r="A480" s="167"/>
      <c r="C480" s="177"/>
      <c r="D480" s="292" t="s">
        <v>157</v>
      </c>
      <c r="E480" s="177"/>
      <c r="F480" s="267"/>
      <c r="G480" s="266">
        <f ca="1">F285</f>
        <v>10630.577030293969</v>
      </c>
      <c r="H480" s="177"/>
      <c r="I480" s="177">
        <f ca="1">G146</f>
        <v>12285.442435775452</v>
      </c>
      <c r="J480" s="196"/>
      <c r="K480" s="167"/>
      <c r="L480" s="167"/>
      <c r="M480" s="220"/>
      <c r="N480" s="220"/>
      <c r="O480" s="167"/>
      <c r="P480" s="167"/>
      <c r="Q480" s="167"/>
      <c r="R480" s="167"/>
      <c r="S480" s="167"/>
      <c r="T480" s="167"/>
      <c r="U480" s="167"/>
      <c r="V480" s="167"/>
      <c r="W480" s="167"/>
    </row>
    <row r="481" spans="1:23" ht="18" x14ac:dyDescent="0.2">
      <c r="A481" s="167"/>
      <c r="B481" s="167"/>
      <c r="C481" s="177"/>
      <c r="D481" s="293"/>
      <c r="E481" s="267"/>
      <c r="F481" s="267"/>
      <c r="G481" s="268"/>
      <c r="H481" s="177"/>
      <c r="I481" s="177"/>
      <c r="J481" s="196"/>
      <c r="K481" s="167"/>
      <c r="L481" s="167"/>
      <c r="M481" s="220"/>
      <c r="N481" s="220"/>
      <c r="O481" s="167"/>
      <c r="P481" s="167"/>
      <c r="Q481" s="167"/>
      <c r="R481" s="167"/>
      <c r="S481" s="167"/>
      <c r="T481" s="167"/>
      <c r="U481" s="167"/>
      <c r="V481" s="167"/>
      <c r="W481" s="167"/>
    </row>
    <row r="482" spans="1:23" ht="18" x14ac:dyDescent="0.2">
      <c r="A482" s="167"/>
      <c r="B482" s="167"/>
      <c r="C482" s="177"/>
      <c r="D482" s="292" t="s">
        <v>588</v>
      </c>
      <c r="E482" s="177"/>
      <c r="F482" s="267"/>
      <c r="G482" s="266">
        <f ca="1">G463</f>
        <v>26618.467726840019</v>
      </c>
      <c r="H482" s="177"/>
      <c r="I482" s="177">
        <f ca="1">G148</f>
        <v>35437.094086226032</v>
      </c>
      <c r="J482" s="196"/>
      <c r="K482" s="167"/>
      <c r="L482" s="167"/>
      <c r="M482" s="220"/>
      <c r="N482" s="220"/>
      <c r="O482" s="167"/>
      <c r="P482" s="167"/>
      <c r="Q482" s="167"/>
      <c r="R482" s="167"/>
      <c r="S482" s="167"/>
      <c r="T482" s="167"/>
      <c r="U482" s="167"/>
      <c r="V482" s="167"/>
      <c r="W482" s="167"/>
    </row>
    <row r="483" spans="1:23" ht="18.75" thickBot="1" x14ac:dyDescent="0.25">
      <c r="A483" s="167"/>
      <c r="B483" s="167"/>
      <c r="C483" s="177"/>
      <c r="D483" s="177"/>
      <c r="E483" s="177"/>
      <c r="F483" s="177"/>
      <c r="G483" s="291"/>
      <c r="H483" s="177"/>
      <c r="I483" s="296"/>
      <c r="J483" s="196"/>
      <c r="K483" s="167"/>
      <c r="L483" s="167"/>
      <c r="M483" s="167"/>
      <c r="N483" s="167"/>
      <c r="O483" s="167"/>
      <c r="P483" s="167"/>
      <c r="Q483" s="167"/>
      <c r="R483" s="167"/>
      <c r="S483" s="167"/>
      <c r="T483" s="167"/>
      <c r="U483" s="167"/>
      <c r="V483" s="167"/>
      <c r="W483" s="167"/>
    </row>
    <row r="484" spans="1:23" ht="30" customHeight="1" x14ac:dyDescent="0.2">
      <c r="A484" s="167"/>
      <c r="B484" s="167"/>
      <c r="C484" s="177"/>
      <c r="D484" s="177"/>
      <c r="E484" s="266" t="s">
        <v>404</v>
      </c>
      <c r="F484" s="177"/>
      <c r="G484" s="266">
        <f ca="1">SUM(G475:G482)</f>
        <v>69636.347256749927</v>
      </c>
      <c r="H484" s="177"/>
      <c r="I484" s="266">
        <f ca="1">SUM(I475:I483)</f>
        <v>79600.093588155534</v>
      </c>
      <c r="J484" s="196"/>
      <c r="K484" s="167"/>
      <c r="L484" s="167"/>
      <c r="M484" s="167"/>
      <c r="N484" s="167"/>
      <c r="O484" s="167"/>
      <c r="P484" s="167"/>
      <c r="Q484" s="167"/>
      <c r="R484" s="167"/>
      <c r="S484" s="167"/>
      <c r="T484" s="167"/>
      <c r="U484" s="167"/>
      <c r="V484" s="167"/>
      <c r="W484" s="167"/>
    </row>
    <row r="485" spans="1:23" ht="18" x14ac:dyDescent="0.2">
      <c r="A485" s="167"/>
      <c r="C485" s="177"/>
      <c r="D485" s="177"/>
      <c r="E485" s="177"/>
      <c r="F485" s="177"/>
      <c r="G485" s="177"/>
      <c r="H485" s="177"/>
      <c r="I485" s="177"/>
      <c r="J485" s="196"/>
      <c r="K485" s="167"/>
      <c r="L485" s="167"/>
      <c r="M485" s="167"/>
      <c r="N485" s="167"/>
      <c r="O485" s="167"/>
      <c r="P485" s="167"/>
      <c r="Q485" s="167"/>
      <c r="R485" s="167"/>
      <c r="S485" s="167"/>
      <c r="T485" s="167"/>
      <c r="U485" s="167"/>
      <c r="V485" s="167"/>
      <c r="W485" s="167"/>
    </row>
    <row r="486" spans="1:23" ht="18" x14ac:dyDescent="0.2">
      <c r="A486" s="167"/>
      <c r="C486" s="177"/>
      <c r="D486" s="177"/>
      <c r="E486" s="177"/>
      <c r="F486" s="177"/>
      <c r="G486" s="177"/>
      <c r="H486" s="177"/>
      <c r="I486" s="177"/>
      <c r="J486" s="196"/>
      <c r="K486" s="167"/>
      <c r="L486" s="167"/>
      <c r="M486" s="167"/>
      <c r="N486" s="167"/>
      <c r="O486" s="167"/>
      <c r="P486" s="167"/>
      <c r="Q486" s="167"/>
      <c r="R486" s="167"/>
      <c r="S486" s="167"/>
      <c r="T486" s="167"/>
      <c r="U486" s="167"/>
      <c r="V486" s="167"/>
      <c r="W486" s="167"/>
    </row>
    <row r="487" spans="1:23" ht="18" x14ac:dyDescent="0.2">
      <c r="A487" s="167"/>
      <c r="J487" s="167"/>
      <c r="K487" s="167"/>
      <c r="L487" s="167"/>
      <c r="M487" s="167"/>
      <c r="N487" s="167"/>
      <c r="W487" s="167"/>
    </row>
    <row r="488" spans="1:23" ht="18" x14ac:dyDescent="0.2">
      <c r="A488" s="167"/>
      <c r="J488" s="167"/>
      <c r="K488" s="167"/>
      <c r="L488" s="262"/>
      <c r="M488" s="167"/>
      <c r="N488" s="167"/>
      <c r="W488" s="167"/>
    </row>
    <row r="489" spans="1:23" ht="18" x14ac:dyDescent="0.2">
      <c r="A489" s="167"/>
      <c r="C489" s="173"/>
      <c r="D489" s="532" t="s">
        <v>642</v>
      </c>
      <c r="E489" s="532"/>
      <c r="F489" s="532"/>
      <c r="G489" s="532"/>
      <c r="H489" s="532"/>
      <c r="I489" s="532"/>
      <c r="J489" s="532"/>
      <c r="K489" s="175"/>
      <c r="L489" s="263"/>
      <c r="M489" s="167"/>
      <c r="N489" s="167"/>
      <c r="W489" s="167"/>
    </row>
    <row r="490" spans="1:23" ht="18" x14ac:dyDescent="0.2">
      <c r="A490" s="167"/>
      <c r="J490" s="167"/>
      <c r="K490" s="167"/>
      <c r="L490" s="263"/>
      <c r="M490" s="167"/>
      <c r="N490" s="167"/>
      <c r="W490" s="167"/>
    </row>
    <row r="491" spans="1:23" ht="18" x14ac:dyDescent="0.2">
      <c r="A491" s="167"/>
      <c r="J491" s="167"/>
      <c r="K491" s="167"/>
      <c r="L491" s="167"/>
      <c r="M491" s="167"/>
      <c r="N491" s="167"/>
      <c r="W491" s="167"/>
    </row>
    <row r="492" spans="1:23" ht="18" x14ac:dyDescent="0.2">
      <c r="A492" s="167"/>
      <c r="C492" s="200" t="s">
        <v>29</v>
      </c>
      <c r="J492" s="167"/>
      <c r="K492" s="167"/>
      <c r="L492" s="167"/>
      <c r="M492" s="167"/>
      <c r="N492" s="167"/>
      <c r="W492" s="167"/>
    </row>
    <row r="493" spans="1:23" ht="18" x14ac:dyDescent="0.2">
      <c r="A493" s="167"/>
      <c r="J493" s="167"/>
      <c r="K493" s="180"/>
      <c r="L493" s="180"/>
      <c r="M493" s="167"/>
      <c r="N493" s="167"/>
      <c r="W493" s="167"/>
    </row>
    <row r="494" spans="1:23" ht="18" x14ac:dyDescent="0.2">
      <c r="A494" s="167"/>
      <c r="C494" s="253" t="s">
        <v>27</v>
      </c>
      <c r="D494" s="253"/>
      <c r="E494" s="253"/>
      <c r="F494" s="253"/>
      <c r="G494" s="167">
        <f ca="1">J362</f>
        <v>16282.1204700901</v>
      </c>
      <c r="J494" s="167"/>
      <c r="K494" s="167"/>
      <c r="L494" s="167"/>
      <c r="N494" s="167"/>
      <c r="W494" s="167"/>
    </row>
    <row r="495" spans="1:23" ht="18" x14ac:dyDescent="0.2">
      <c r="A495" s="167"/>
      <c r="C495" s="253"/>
      <c r="D495" s="253"/>
      <c r="E495" s="253"/>
      <c r="F495" s="253"/>
      <c r="G495" s="253"/>
      <c r="J495" s="167"/>
      <c r="K495" s="167"/>
      <c r="L495" s="167"/>
      <c r="N495" s="167"/>
      <c r="W495" s="167"/>
    </row>
    <row r="496" spans="1:23" ht="21" x14ac:dyDescent="0.2">
      <c r="A496" s="167"/>
      <c r="B496" s="202" t="s">
        <v>614</v>
      </c>
      <c r="C496" s="253" t="s">
        <v>28</v>
      </c>
      <c r="D496" s="253"/>
      <c r="E496" s="253"/>
      <c r="F496" s="253"/>
      <c r="G496" s="167">
        <f>J318</f>
        <v>2500</v>
      </c>
      <c r="J496" s="167"/>
      <c r="K496" s="167"/>
      <c r="L496" s="167"/>
      <c r="N496" s="167"/>
      <c r="W496" s="167"/>
    </row>
    <row r="497" spans="1:23" ht="21" x14ac:dyDescent="0.2">
      <c r="A497" s="167"/>
      <c r="B497" s="201"/>
      <c r="C497" s="253"/>
      <c r="D497" s="253"/>
      <c r="E497" s="253"/>
      <c r="F497" s="253"/>
      <c r="G497" s="264"/>
      <c r="J497" s="167"/>
      <c r="K497" s="167"/>
      <c r="L497" s="167"/>
      <c r="N497" s="167"/>
      <c r="W497" s="167"/>
    </row>
    <row r="498" spans="1:23" ht="21" x14ac:dyDescent="0.2">
      <c r="A498" s="167"/>
      <c r="B498" s="202" t="s">
        <v>614</v>
      </c>
      <c r="C498" s="253" t="s">
        <v>576</v>
      </c>
      <c r="D498" s="253"/>
      <c r="E498" s="253"/>
      <c r="F498" s="253"/>
      <c r="G498" s="167">
        <f>J319+J320+J321+J355-J307</f>
        <v>0</v>
      </c>
      <c r="K498" s="167"/>
      <c r="L498" s="167"/>
      <c r="N498" s="167"/>
      <c r="O498" s="167"/>
      <c r="P498" s="167"/>
      <c r="Q498" s="167"/>
      <c r="R498" s="167"/>
      <c r="S498" s="167"/>
      <c r="T498" s="167"/>
      <c r="U498" s="167"/>
      <c r="V498" s="167"/>
      <c r="W498" s="167"/>
    </row>
    <row r="499" spans="1:23" ht="21" x14ac:dyDescent="0.2">
      <c r="A499" s="167"/>
      <c r="B499" s="201"/>
      <c r="C499" s="220"/>
      <c r="D499" s="220"/>
      <c r="E499" s="220"/>
      <c r="F499" s="220"/>
      <c r="G499" s="265"/>
      <c r="K499" s="167"/>
      <c r="L499" s="167"/>
      <c r="N499" s="167"/>
      <c r="O499" s="167"/>
      <c r="P499" s="167"/>
      <c r="Q499" s="167"/>
      <c r="R499" s="167"/>
      <c r="S499" s="167"/>
      <c r="T499" s="167"/>
      <c r="U499" s="167"/>
      <c r="V499" s="167"/>
      <c r="W499" s="167"/>
    </row>
    <row r="500" spans="1:23" ht="21" x14ac:dyDescent="0.2">
      <c r="A500" s="167"/>
      <c r="B500" s="202" t="s">
        <v>615</v>
      </c>
      <c r="C500" s="253" t="s">
        <v>643</v>
      </c>
      <c r="D500" s="220"/>
      <c r="E500" s="220"/>
      <c r="F500" s="220"/>
      <c r="G500" s="384"/>
      <c r="H500" s="253"/>
      <c r="K500" s="167"/>
      <c r="L500" s="167"/>
      <c r="N500" s="167"/>
      <c r="O500" s="167"/>
      <c r="P500" s="167"/>
      <c r="Q500" s="167"/>
      <c r="R500" s="167"/>
      <c r="S500" s="167"/>
      <c r="T500" s="167"/>
      <c r="U500" s="167"/>
      <c r="V500" s="167"/>
      <c r="W500" s="167"/>
    </row>
    <row r="501" spans="1:23" ht="21" x14ac:dyDescent="0.2">
      <c r="A501" s="167"/>
      <c r="B501" s="201"/>
      <c r="C501" s="220"/>
      <c r="D501" s="220"/>
      <c r="E501" s="220"/>
      <c r="F501" s="220"/>
      <c r="G501" s="220"/>
      <c r="K501" s="167"/>
      <c r="L501" s="167"/>
      <c r="N501" s="167"/>
      <c r="O501" s="167"/>
      <c r="P501" s="167"/>
      <c r="Q501" s="167"/>
      <c r="R501" s="167"/>
      <c r="S501" s="167"/>
      <c r="T501" s="167"/>
      <c r="U501" s="167"/>
      <c r="V501" s="167"/>
      <c r="W501" s="167"/>
    </row>
    <row r="502" spans="1:23" ht="30" customHeight="1" x14ac:dyDescent="0.2">
      <c r="A502" s="167"/>
      <c r="B502" s="202" t="s">
        <v>616</v>
      </c>
      <c r="C502" s="252" t="s">
        <v>30</v>
      </c>
      <c r="D502" s="220"/>
      <c r="E502" s="220"/>
      <c r="F502" s="220"/>
      <c r="G502" s="396">
        <f ca="1">G494+G496+G498+G500</f>
        <v>18782.1204700901</v>
      </c>
      <c r="I502" s="167"/>
      <c r="J502" s="167"/>
      <c r="K502" s="167"/>
      <c r="L502" s="167"/>
      <c r="N502" s="167"/>
      <c r="O502" s="167"/>
      <c r="P502" s="167"/>
      <c r="Q502" s="167"/>
      <c r="R502" s="167"/>
      <c r="S502" s="167"/>
      <c r="T502" s="167"/>
      <c r="U502" s="167"/>
      <c r="V502" s="167"/>
      <c r="W502" s="167"/>
    </row>
    <row r="503" spans="1:23" ht="18" x14ac:dyDescent="0.2">
      <c r="A503" s="167"/>
      <c r="B503" s="167"/>
      <c r="I503" s="167"/>
      <c r="J503" s="167"/>
      <c r="K503" s="167"/>
      <c r="L503" s="167"/>
      <c r="N503" s="167"/>
      <c r="O503" s="167"/>
      <c r="P503" s="167"/>
      <c r="Q503" s="167"/>
      <c r="R503" s="167"/>
      <c r="S503" s="167"/>
      <c r="T503" s="167"/>
      <c r="U503" s="167"/>
      <c r="V503" s="167"/>
      <c r="W503" s="167"/>
    </row>
    <row r="504" spans="1:23" ht="18" x14ac:dyDescent="0.2">
      <c r="N504" s="167"/>
      <c r="O504" s="167"/>
      <c r="P504" s="167"/>
      <c r="Q504" s="167"/>
      <c r="R504" s="167"/>
      <c r="S504" s="167"/>
      <c r="T504" s="167"/>
      <c r="U504" s="167"/>
      <c r="V504" s="167"/>
      <c r="W504" s="167"/>
    </row>
    <row r="505" spans="1:23" ht="54" customHeight="1" x14ac:dyDescent="0.2">
      <c r="E505" s="167"/>
      <c r="F505" s="167"/>
      <c r="G505" s="487" t="s">
        <v>646</v>
      </c>
      <c r="H505" s="294"/>
      <c r="I505" s="488" t="s">
        <v>687</v>
      </c>
      <c r="N505" s="167"/>
      <c r="O505" s="167"/>
      <c r="P505" s="167"/>
      <c r="Q505" s="167"/>
      <c r="R505" s="167"/>
      <c r="S505" s="167"/>
      <c r="T505" s="167"/>
      <c r="U505" s="167"/>
      <c r="V505" s="167"/>
      <c r="W505" s="167"/>
    </row>
    <row r="506" spans="1:23" ht="18" x14ac:dyDescent="0.2">
      <c r="D506" s="171" t="s">
        <v>116</v>
      </c>
      <c r="E506" s="167"/>
      <c r="G506" s="168"/>
      <c r="H506" s="205"/>
      <c r="I506" s="168"/>
      <c r="N506" s="167"/>
      <c r="O506" s="167"/>
      <c r="P506" s="167"/>
      <c r="Q506" s="167"/>
      <c r="R506" s="167"/>
      <c r="S506" s="167"/>
      <c r="T506" s="167"/>
      <c r="U506" s="167"/>
      <c r="V506" s="167"/>
      <c r="W506" s="167"/>
    </row>
    <row r="507" spans="1:23" ht="18" x14ac:dyDescent="0.2">
      <c r="D507" s="167"/>
      <c r="E507" s="167"/>
      <c r="G507" s="168"/>
      <c r="H507" s="205"/>
      <c r="I507" s="168"/>
      <c r="N507" s="167"/>
      <c r="O507" s="167"/>
      <c r="P507" s="167"/>
      <c r="Q507" s="167"/>
      <c r="R507" s="167"/>
      <c r="S507" s="167"/>
      <c r="T507" s="167"/>
      <c r="U507" s="167"/>
      <c r="V507" s="167"/>
      <c r="W507" s="167"/>
    </row>
    <row r="508" spans="1:23" ht="18" x14ac:dyDescent="0.2">
      <c r="D508" s="288" t="s">
        <v>117</v>
      </c>
      <c r="E508" s="167"/>
      <c r="G508" s="168">
        <f ca="1">G502</f>
        <v>18782.1204700901</v>
      </c>
      <c r="H508" s="205"/>
      <c r="I508" s="168">
        <f ca="1">G172</f>
        <v>119637.0004980705</v>
      </c>
      <c r="N508" s="167"/>
      <c r="O508" s="167"/>
      <c r="P508" s="167"/>
      <c r="Q508" s="167"/>
      <c r="R508" s="167"/>
      <c r="S508" s="167"/>
      <c r="T508" s="167"/>
      <c r="U508" s="167"/>
      <c r="V508" s="167"/>
      <c r="W508" s="167"/>
    </row>
    <row r="509" spans="1:23" ht="18" x14ac:dyDescent="0.2">
      <c r="D509" s="288"/>
      <c r="E509" s="167"/>
      <c r="G509" s="168"/>
      <c r="H509" s="205"/>
      <c r="I509" s="168"/>
      <c r="N509" s="167"/>
      <c r="O509" s="167"/>
      <c r="P509" s="167"/>
      <c r="Q509" s="167"/>
      <c r="R509" s="167"/>
      <c r="S509" s="167"/>
      <c r="T509" s="167"/>
      <c r="U509" s="167"/>
      <c r="V509" s="167"/>
      <c r="W509" s="167"/>
    </row>
    <row r="510" spans="1:23" ht="18" x14ac:dyDescent="0.2">
      <c r="D510" s="288" t="s">
        <v>644</v>
      </c>
      <c r="E510" s="167"/>
      <c r="G510" s="168">
        <f>I510</f>
        <v>0</v>
      </c>
      <c r="H510" s="205"/>
      <c r="I510" s="298">
        <f>G181</f>
        <v>0</v>
      </c>
      <c r="N510" s="167"/>
      <c r="O510" s="167"/>
      <c r="P510" s="167"/>
      <c r="Q510" s="167"/>
      <c r="R510" s="167"/>
      <c r="S510" s="167"/>
      <c r="T510" s="167"/>
      <c r="U510" s="167"/>
      <c r="V510" s="167"/>
      <c r="W510" s="167"/>
    </row>
    <row r="511" spans="1:23" ht="18" x14ac:dyDescent="0.2">
      <c r="D511" s="299" t="s">
        <v>688</v>
      </c>
      <c r="E511" s="196"/>
      <c r="F511" s="254"/>
      <c r="G511" s="259"/>
      <c r="H511" s="205"/>
      <c r="I511" s="259"/>
      <c r="N511" s="167"/>
      <c r="O511" s="167"/>
      <c r="P511" s="167"/>
      <c r="Q511" s="167"/>
      <c r="R511" s="167"/>
      <c r="S511" s="167"/>
      <c r="T511" s="167"/>
      <c r="U511" s="167"/>
      <c r="V511" s="167"/>
      <c r="W511" s="167"/>
    </row>
    <row r="512" spans="1:23" ht="39" customHeight="1" x14ac:dyDescent="0.2">
      <c r="D512" s="288" t="s">
        <v>31</v>
      </c>
      <c r="E512" s="167"/>
      <c r="G512" s="168">
        <f ca="1">SUM(G508:G510)</f>
        <v>18782.1204700901</v>
      </c>
      <c r="H512" s="205"/>
      <c r="I512" s="168">
        <f ca="1">SUM(I508:I510)</f>
        <v>119637.0004980705</v>
      </c>
      <c r="N512" s="167"/>
      <c r="O512" s="167"/>
      <c r="P512" s="167"/>
      <c r="Q512" s="167"/>
      <c r="R512" s="167"/>
      <c r="S512" s="167"/>
      <c r="T512" s="167"/>
      <c r="U512" s="167"/>
      <c r="V512" s="167"/>
      <c r="W512" s="167"/>
    </row>
    <row r="513" spans="3:23" ht="18" x14ac:dyDescent="0.2">
      <c r="D513" s="167"/>
      <c r="E513" s="167"/>
      <c r="G513" s="168"/>
      <c r="H513" s="205"/>
      <c r="I513" s="168"/>
      <c r="N513" s="167"/>
      <c r="O513" s="167"/>
      <c r="P513" s="167"/>
      <c r="Q513" s="167"/>
      <c r="R513" s="167"/>
      <c r="S513" s="167"/>
      <c r="T513" s="167"/>
      <c r="U513" s="167"/>
      <c r="V513" s="167"/>
      <c r="W513" s="167"/>
    </row>
    <row r="514" spans="3:23" ht="18" x14ac:dyDescent="0.2">
      <c r="D514" s="171" t="s">
        <v>118</v>
      </c>
      <c r="E514" s="167"/>
      <c r="G514" s="168"/>
      <c r="H514" s="205"/>
      <c r="I514" s="168"/>
      <c r="N514" s="167"/>
      <c r="O514" s="167"/>
      <c r="P514" s="167"/>
      <c r="Q514" s="167"/>
      <c r="R514" s="167"/>
      <c r="S514" s="167"/>
      <c r="T514" s="167"/>
      <c r="U514" s="167"/>
      <c r="V514" s="167"/>
      <c r="W514" s="167"/>
    </row>
    <row r="515" spans="3:23" ht="18" x14ac:dyDescent="0.2">
      <c r="D515" s="167"/>
      <c r="E515" s="167"/>
      <c r="G515" s="168"/>
      <c r="H515" s="205"/>
      <c r="I515" s="168"/>
      <c r="N515" s="167"/>
      <c r="O515" s="167"/>
      <c r="P515" s="167"/>
      <c r="Q515" s="167"/>
      <c r="R515" s="167"/>
      <c r="S515" s="167"/>
      <c r="T515" s="167"/>
      <c r="U515" s="167"/>
      <c r="V515" s="167"/>
      <c r="W515" s="167"/>
    </row>
    <row r="516" spans="3:23" ht="18" x14ac:dyDescent="0.2">
      <c r="D516" s="288" t="s">
        <v>754</v>
      </c>
      <c r="E516" s="167"/>
      <c r="G516" s="168">
        <f>F267</f>
        <v>10000</v>
      </c>
      <c r="H516" s="205"/>
      <c r="I516" s="168">
        <f>G187</f>
        <v>110000</v>
      </c>
      <c r="N516" s="167"/>
      <c r="O516" s="167"/>
      <c r="P516" s="167"/>
      <c r="Q516" s="167"/>
      <c r="R516" s="167"/>
      <c r="S516" s="167"/>
      <c r="T516" s="167"/>
      <c r="U516" s="167"/>
      <c r="V516" s="167"/>
      <c r="W516" s="167"/>
    </row>
    <row r="517" spans="3:23" ht="18" x14ac:dyDescent="0.2">
      <c r="D517" s="288"/>
      <c r="E517" s="167"/>
      <c r="G517" s="168"/>
      <c r="H517" s="205"/>
      <c r="I517" s="168"/>
      <c r="N517" s="167"/>
      <c r="O517" s="167"/>
      <c r="P517" s="167"/>
      <c r="Q517" s="167"/>
      <c r="R517" s="167"/>
      <c r="S517" s="167"/>
      <c r="T517" s="167"/>
      <c r="U517" s="167"/>
      <c r="V517" s="167"/>
      <c r="W517" s="167"/>
    </row>
    <row r="518" spans="3:23" ht="18" x14ac:dyDescent="0.2">
      <c r="D518" s="288" t="s">
        <v>119</v>
      </c>
      <c r="E518" s="167"/>
      <c r="G518" s="168">
        <f>I518</f>
        <v>0</v>
      </c>
      <c r="H518" s="205"/>
      <c r="I518" s="168">
        <f>G183</f>
        <v>0</v>
      </c>
      <c r="N518" s="167"/>
      <c r="O518" s="167"/>
      <c r="P518" s="167"/>
      <c r="Q518" s="167"/>
      <c r="R518" s="167"/>
      <c r="S518" s="167"/>
      <c r="T518" s="167"/>
      <c r="U518" s="167"/>
      <c r="V518" s="167"/>
      <c r="W518" s="167"/>
    </row>
    <row r="519" spans="3:23" ht="18" x14ac:dyDescent="0.2">
      <c r="D519" s="288"/>
      <c r="E519" s="167"/>
      <c r="G519" s="168"/>
      <c r="H519" s="205"/>
      <c r="I519" s="168"/>
      <c r="N519" s="167"/>
      <c r="O519" s="167"/>
      <c r="P519" s="167"/>
      <c r="Q519" s="167"/>
      <c r="R519" s="167"/>
      <c r="S519" s="167"/>
      <c r="T519" s="167"/>
      <c r="U519" s="167"/>
      <c r="V519" s="167"/>
      <c r="W519" s="167"/>
    </row>
    <row r="520" spans="3:23" ht="18" x14ac:dyDescent="0.2">
      <c r="D520" s="288" t="s">
        <v>34</v>
      </c>
      <c r="E520" s="167"/>
      <c r="G520" s="168">
        <f>I520</f>
        <v>10000</v>
      </c>
      <c r="H520" s="205"/>
      <c r="I520" s="168">
        <f>G185</f>
        <v>10000</v>
      </c>
      <c r="N520" s="167"/>
      <c r="O520" s="167"/>
      <c r="P520" s="167"/>
      <c r="Q520" s="167"/>
      <c r="R520" s="167"/>
      <c r="S520" s="167"/>
      <c r="T520" s="167"/>
      <c r="U520" s="167"/>
      <c r="V520" s="167"/>
      <c r="W520" s="167"/>
    </row>
    <row r="521" spans="3:23" ht="18" x14ac:dyDescent="0.2">
      <c r="D521" s="300" t="s">
        <v>688</v>
      </c>
      <c r="E521" s="257"/>
      <c r="G521" s="259"/>
      <c r="H521" s="205"/>
      <c r="I521" s="259"/>
      <c r="N521" s="167"/>
      <c r="O521" s="167"/>
      <c r="P521" s="167"/>
      <c r="Q521" s="167"/>
      <c r="R521" s="167"/>
      <c r="S521" s="167"/>
      <c r="T521" s="167"/>
      <c r="U521" s="167"/>
      <c r="V521" s="167"/>
      <c r="W521" s="167"/>
    </row>
    <row r="522" spans="3:23" ht="39" customHeight="1" x14ac:dyDescent="0.2">
      <c r="D522" s="299" t="s">
        <v>32</v>
      </c>
      <c r="E522" s="196"/>
      <c r="G522" s="168">
        <f>SUM(G516:G520)</f>
        <v>20000</v>
      </c>
      <c r="H522" s="205"/>
      <c r="I522" s="168">
        <f>SUM(I516:I520)</f>
        <v>120000</v>
      </c>
      <c r="N522" s="167"/>
      <c r="O522" s="167"/>
      <c r="P522" s="167"/>
      <c r="Q522" s="167"/>
      <c r="R522" s="167"/>
      <c r="S522" s="167"/>
      <c r="T522" s="167"/>
      <c r="U522" s="167"/>
      <c r="V522" s="167"/>
      <c r="W522" s="167"/>
    </row>
    <row r="523" spans="3:23" ht="18.75" thickBot="1" x14ac:dyDescent="0.25">
      <c r="D523" s="167"/>
      <c r="E523" s="167"/>
      <c r="G523" s="296"/>
      <c r="H523" s="205"/>
      <c r="I523" s="296"/>
      <c r="N523" s="167"/>
      <c r="O523" s="167"/>
      <c r="P523" s="167"/>
      <c r="Q523" s="167"/>
      <c r="R523" s="167"/>
      <c r="S523" s="167"/>
      <c r="T523" s="167"/>
      <c r="U523" s="167"/>
      <c r="V523" s="167"/>
      <c r="W523" s="167"/>
    </row>
    <row r="524" spans="3:23" ht="42" customHeight="1" x14ac:dyDescent="0.2">
      <c r="D524" s="518" t="s">
        <v>645</v>
      </c>
      <c r="E524" s="518"/>
      <c r="F524" s="518"/>
      <c r="G524" s="297">
        <f ca="1">G512-G522</f>
        <v>-1217.8795299099002</v>
      </c>
      <c r="H524" s="205"/>
      <c r="I524" s="297">
        <f ca="1">I512-I522</f>
        <v>-362.999501929502</v>
      </c>
      <c r="N524" s="167"/>
      <c r="O524" s="167"/>
      <c r="P524" s="167"/>
      <c r="Q524" s="167"/>
      <c r="R524" s="167"/>
      <c r="S524" s="167"/>
      <c r="T524" s="167"/>
      <c r="U524" s="167"/>
      <c r="V524" s="167"/>
      <c r="W524" s="167"/>
    </row>
    <row r="525" spans="3:23" ht="18" x14ac:dyDescent="0.2">
      <c r="G525" s="205"/>
      <c r="H525" s="205"/>
      <c r="I525" s="205"/>
      <c r="N525" s="167"/>
      <c r="O525" s="167"/>
      <c r="P525" s="167"/>
      <c r="Q525" s="167"/>
      <c r="R525" s="167"/>
      <c r="S525" s="167"/>
      <c r="T525" s="167"/>
      <c r="U525" s="167"/>
      <c r="V525" s="167"/>
      <c r="W525" s="167"/>
    </row>
    <row r="526" spans="3:23" ht="18" x14ac:dyDescent="0.2">
      <c r="G526" s="205"/>
      <c r="H526" s="205"/>
      <c r="I526" s="205"/>
      <c r="N526" s="167"/>
      <c r="O526" s="167"/>
      <c r="P526" s="167"/>
      <c r="Q526" s="167"/>
      <c r="R526" s="167"/>
      <c r="S526" s="167"/>
      <c r="T526" s="167"/>
      <c r="U526" s="167"/>
      <c r="V526" s="167"/>
      <c r="W526" s="167"/>
    </row>
    <row r="527" spans="3:23" ht="18" x14ac:dyDescent="0.2">
      <c r="N527" s="167"/>
      <c r="O527" s="167"/>
      <c r="P527" s="167"/>
      <c r="V527" s="167"/>
      <c r="W527" s="167"/>
    </row>
    <row r="528" spans="3:23" ht="18" x14ac:dyDescent="0.2">
      <c r="C528" s="167"/>
      <c r="D528" s="167"/>
      <c r="E528" s="167"/>
      <c r="F528" s="167"/>
      <c r="G528" s="167"/>
      <c r="H528" s="167"/>
      <c r="I528" s="167"/>
      <c r="N528" s="167"/>
      <c r="O528" s="167"/>
      <c r="P528" s="167"/>
      <c r="V528" s="167"/>
      <c r="W528" s="167"/>
    </row>
    <row r="529" spans="1:23" ht="18" x14ac:dyDescent="0.2">
      <c r="B529" s="167"/>
      <c r="C529" s="167"/>
      <c r="D529" s="167"/>
      <c r="E529" s="167"/>
      <c r="F529" s="167"/>
      <c r="G529" s="167"/>
      <c r="H529" s="167"/>
      <c r="I529" s="167"/>
      <c r="N529" s="167"/>
      <c r="O529" s="167"/>
      <c r="P529" s="167"/>
      <c r="V529" s="167"/>
      <c r="W529" s="167"/>
    </row>
    <row r="530" spans="1:23" ht="18" x14ac:dyDescent="0.2">
      <c r="B530" s="167"/>
      <c r="C530" s="167"/>
      <c r="D530" s="167"/>
      <c r="E530" s="167"/>
      <c r="F530" s="167"/>
      <c r="G530" s="167"/>
      <c r="H530" s="167"/>
      <c r="I530" s="167"/>
      <c r="N530" s="167"/>
      <c r="O530" s="167"/>
      <c r="P530" s="167"/>
      <c r="V530" s="167"/>
      <c r="W530" s="167"/>
    </row>
    <row r="531" spans="1:23" ht="18" x14ac:dyDescent="0.2">
      <c r="B531" s="167"/>
      <c r="C531" s="196"/>
      <c r="D531" s="196"/>
      <c r="E531" s="196"/>
      <c r="F531" s="196"/>
      <c r="G531" s="196"/>
      <c r="H531" s="196"/>
      <c r="I531" s="167"/>
      <c r="N531" s="167"/>
      <c r="O531" s="167"/>
      <c r="P531" s="167"/>
      <c r="V531" s="167"/>
      <c r="W531" s="167"/>
    </row>
    <row r="532" spans="1:23" ht="18" x14ac:dyDescent="0.2">
      <c r="B532" s="167"/>
      <c r="C532" s="261"/>
      <c r="D532" s="532" t="s">
        <v>641</v>
      </c>
      <c r="E532" s="532"/>
      <c r="F532" s="532"/>
      <c r="G532" s="532"/>
      <c r="H532" s="532"/>
      <c r="I532" s="532"/>
      <c r="J532" s="532"/>
      <c r="N532" s="167"/>
      <c r="O532" s="167"/>
      <c r="P532" s="167"/>
      <c r="V532" s="167"/>
      <c r="W532" s="167"/>
    </row>
    <row r="533" spans="1:23" ht="18" x14ac:dyDescent="0.2">
      <c r="B533" s="167"/>
      <c r="C533" s="196"/>
      <c r="D533" s="196"/>
      <c r="E533" s="196"/>
      <c r="F533" s="196"/>
      <c r="G533" s="196"/>
      <c r="H533" s="196"/>
      <c r="I533" s="167"/>
      <c r="N533" s="167"/>
      <c r="O533" s="167"/>
      <c r="P533" s="167"/>
      <c r="V533" s="167"/>
      <c r="W533" s="167"/>
    </row>
    <row r="534" spans="1:23" ht="18" x14ac:dyDescent="0.2">
      <c r="B534" s="171" t="s">
        <v>33</v>
      </c>
      <c r="C534" s="196"/>
      <c r="D534" s="196"/>
      <c r="E534" s="196"/>
      <c r="F534" s="196"/>
      <c r="G534" s="196"/>
      <c r="H534" s="196"/>
      <c r="I534" s="167"/>
      <c r="N534" s="167"/>
      <c r="O534" s="167"/>
      <c r="P534" s="167"/>
      <c r="V534" s="167"/>
      <c r="W534" s="167"/>
    </row>
    <row r="535" spans="1:23" ht="18" x14ac:dyDescent="0.2">
      <c r="B535" s="167"/>
      <c r="C535" s="196"/>
      <c r="D535" s="196"/>
      <c r="E535" s="196"/>
      <c r="F535" s="177"/>
      <c r="G535" s="177"/>
      <c r="H535" s="177"/>
      <c r="I535" s="168"/>
      <c r="N535" s="167"/>
      <c r="O535" s="167"/>
      <c r="P535" s="167"/>
      <c r="V535" s="167"/>
      <c r="W535" s="167"/>
    </row>
    <row r="536" spans="1:23" ht="33" customHeight="1" x14ac:dyDescent="0.2">
      <c r="B536" s="167"/>
      <c r="D536" s="196"/>
      <c r="E536" s="196"/>
      <c r="F536" s="196"/>
      <c r="G536" s="577" t="s">
        <v>646</v>
      </c>
      <c r="H536" s="294"/>
      <c r="I536" s="578" t="s">
        <v>687</v>
      </c>
      <c r="N536" s="167"/>
      <c r="O536" s="167"/>
      <c r="P536" s="167"/>
      <c r="V536" s="167"/>
      <c r="W536" s="167"/>
    </row>
    <row r="537" spans="1:23" ht="18" x14ac:dyDescent="0.2">
      <c r="B537" s="167"/>
      <c r="D537" s="196"/>
      <c r="E537" s="196"/>
      <c r="F537" s="196"/>
      <c r="G537" s="577"/>
      <c r="H537" s="177"/>
      <c r="I537" s="578"/>
      <c r="N537" s="167"/>
      <c r="O537" s="167"/>
      <c r="P537" s="167"/>
      <c r="Q537" s="167"/>
      <c r="R537" s="167"/>
      <c r="S537" s="167"/>
      <c r="T537" s="167"/>
      <c r="U537" s="167"/>
      <c r="V537" s="167"/>
      <c r="W537" s="167"/>
    </row>
    <row r="538" spans="1:23" ht="18" x14ac:dyDescent="0.2">
      <c r="B538" s="167"/>
      <c r="D538" s="196"/>
      <c r="E538" s="196"/>
      <c r="F538" s="196"/>
      <c r="G538" s="177"/>
      <c r="H538" s="177"/>
      <c r="I538" s="177"/>
      <c r="N538" s="167"/>
      <c r="O538" s="167"/>
      <c r="P538" s="167"/>
      <c r="Q538" s="167"/>
      <c r="R538" s="167"/>
      <c r="S538" s="167"/>
      <c r="T538" s="167"/>
      <c r="U538" s="167"/>
      <c r="V538" s="167"/>
      <c r="W538" s="167"/>
    </row>
    <row r="539" spans="1:23" ht="18" x14ac:dyDescent="0.2">
      <c r="B539" s="167"/>
      <c r="D539" s="196" t="s">
        <v>35</v>
      </c>
      <c r="E539" s="196"/>
      <c r="F539" s="196"/>
      <c r="G539" s="177">
        <f>G409</f>
        <v>100000</v>
      </c>
      <c r="H539" s="177"/>
      <c r="I539" s="177">
        <f>G187</f>
        <v>110000</v>
      </c>
      <c r="N539" s="167"/>
      <c r="O539" s="167"/>
      <c r="P539" s="167"/>
      <c r="Q539" s="167"/>
      <c r="R539" s="167"/>
      <c r="S539" s="167"/>
      <c r="T539" s="167"/>
      <c r="U539" s="167"/>
      <c r="V539" s="167"/>
      <c r="W539" s="167"/>
    </row>
    <row r="540" spans="1:23" ht="18" x14ac:dyDescent="0.2">
      <c r="B540" s="167"/>
      <c r="D540" s="196"/>
      <c r="E540" s="196"/>
      <c r="F540" s="196"/>
      <c r="G540" s="177"/>
      <c r="H540" s="177"/>
      <c r="I540" s="177"/>
      <c r="N540" s="167"/>
      <c r="O540" s="167"/>
      <c r="P540" s="167"/>
      <c r="Q540" s="167"/>
      <c r="R540" s="167"/>
      <c r="S540" s="167"/>
      <c r="T540" s="167"/>
      <c r="U540" s="167"/>
      <c r="V540" s="167"/>
      <c r="W540" s="167"/>
    </row>
    <row r="541" spans="1:23" ht="18" x14ac:dyDescent="0.2">
      <c r="A541" s="167"/>
      <c r="B541" s="167"/>
      <c r="D541" s="196" t="s">
        <v>113</v>
      </c>
      <c r="E541" s="196"/>
      <c r="F541" s="196"/>
      <c r="G541" s="177">
        <f>F267</f>
        <v>10000</v>
      </c>
      <c r="H541" s="177"/>
      <c r="I541" s="177"/>
      <c r="J541" s="167"/>
      <c r="K541" s="167"/>
      <c r="L541" s="167"/>
      <c r="M541" s="167"/>
      <c r="N541" s="167"/>
      <c r="O541" s="167"/>
      <c r="P541" s="167"/>
      <c r="Q541" s="167"/>
      <c r="R541" s="167"/>
      <c r="S541" s="167"/>
      <c r="T541" s="167"/>
      <c r="U541" s="167"/>
      <c r="V541" s="167"/>
      <c r="W541" s="167"/>
    </row>
    <row r="542" spans="1:23" ht="18" x14ac:dyDescent="0.2">
      <c r="A542" s="167"/>
      <c r="B542" s="167"/>
      <c r="D542" s="196"/>
      <c r="E542" s="196"/>
      <c r="F542" s="196"/>
      <c r="G542" s="177"/>
      <c r="H542" s="177"/>
      <c r="I542" s="177"/>
      <c r="J542" s="167"/>
      <c r="M542" s="167"/>
      <c r="N542" s="167"/>
      <c r="O542" s="167"/>
      <c r="P542" s="167"/>
      <c r="Q542" s="167"/>
      <c r="R542" s="167"/>
      <c r="S542" s="167"/>
      <c r="T542" s="167"/>
      <c r="U542" s="167"/>
      <c r="V542" s="167"/>
      <c r="W542" s="167"/>
    </row>
    <row r="543" spans="1:23" ht="18" x14ac:dyDescent="0.2">
      <c r="A543" s="167"/>
      <c r="B543" s="167"/>
      <c r="D543" s="196" t="s">
        <v>653</v>
      </c>
      <c r="E543" s="196"/>
      <c r="F543" s="196"/>
      <c r="G543" s="177">
        <f>-G71</f>
        <v>-1000</v>
      </c>
      <c r="H543" s="177"/>
      <c r="I543" s="301" t="s">
        <v>747</v>
      </c>
      <c r="J543" s="167"/>
      <c r="M543" s="167"/>
      <c r="N543" s="167"/>
      <c r="O543" s="167"/>
      <c r="P543" s="167"/>
      <c r="Q543" s="167"/>
      <c r="R543" s="167"/>
      <c r="S543" s="167"/>
      <c r="T543" s="167"/>
      <c r="U543" s="167"/>
      <c r="V543" s="167"/>
      <c r="W543" s="167"/>
    </row>
    <row r="544" spans="1:23" ht="18" x14ac:dyDescent="0.2">
      <c r="A544" s="167"/>
      <c r="B544" s="167"/>
      <c r="D544" s="196"/>
      <c r="E544" s="196"/>
      <c r="F544" s="196"/>
      <c r="G544" s="177"/>
      <c r="H544" s="177"/>
      <c r="I544" s="294"/>
      <c r="J544" s="167"/>
      <c r="M544" s="167"/>
      <c r="N544" s="167"/>
      <c r="O544" s="167"/>
      <c r="P544" s="167"/>
      <c r="Q544" s="167"/>
      <c r="R544" s="167"/>
      <c r="S544" s="167"/>
      <c r="T544" s="167"/>
      <c r="U544" s="167"/>
      <c r="V544" s="167"/>
      <c r="W544" s="167"/>
    </row>
    <row r="545" spans="1:23" ht="18" x14ac:dyDescent="0.2">
      <c r="A545" s="167"/>
      <c r="B545" s="167"/>
      <c r="D545" s="196" t="s">
        <v>588</v>
      </c>
      <c r="E545" s="196"/>
      <c r="F545" s="196"/>
      <c r="G545" s="177">
        <f ca="1">-G463</f>
        <v>-26618.467726840019</v>
      </c>
      <c r="H545" s="177"/>
      <c r="I545" s="177">
        <f ca="1">-G148</f>
        <v>-35437.094086226032</v>
      </c>
      <c r="J545" s="167"/>
      <c r="M545" s="167"/>
      <c r="N545" s="167"/>
      <c r="O545" s="167"/>
      <c r="P545" s="167"/>
      <c r="Q545" s="167"/>
      <c r="R545" s="167"/>
      <c r="S545" s="167"/>
      <c r="T545" s="167"/>
      <c r="U545" s="167"/>
      <c r="V545" s="167"/>
      <c r="W545" s="167"/>
    </row>
    <row r="546" spans="1:23" ht="18.75" thickBot="1" x14ac:dyDescent="0.25">
      <c r="A546" s="167"/>
      <c r="B546" s="167"/>
      <c r="D546" s="196"/>
      <c r="E546" s="196"/>
      <c r="F546" s="196"/>
      <c r="G546" s="296"/>
      <c r="H546" s="177"/>
      <c r="I546" s="296"/>
      <c r="J546" s="167"/>
      <c r="M546" s="167"/>
      <c r="N546" s="167"/>
      <c r="O546" s="167"/>
      <c r="P546" s="167"/>
      <c r="Q546" s="167"/>
      <c r="R546" s="167"/>
      <c r="S546" s="167"/>
      <c r="T546" s="167"/>
      <c r="U546" s="167"/>
      <c r="V546" s="167"/>
      <c r="W546" s="167"/>
    </row>
    <row r="547" spans="1:23" ht="30" customHeight="1" x14ac:dyDescent="0.2">
      <c r="A547" s="167"/>
      <c r="B547" s="167"/>
      <c r="D547" s="170" t="s">
        <v>177</v>
      </c>
      <c r="E547" s="196"/>
      <c r="F547" s="196"/>
      <c r="G547" s="266">
        <f ca="1">SUM(G539:G545)</f>
        <v>82381.532273159974</v>
      </c>
      <c r="H547" s="177"/>
      <c r="I547" s="266">
        <f ca="1">I539+I545</f>
        <v>74562.905913773968</v>
      </c>
      <c r="J547" s="167"/>
      <c r="M547" s="167"/>
      <c r="N547" s="167"/>
      <c r="O547" s="167"/>
      <c r="P547" s="167"/>
      <c r="Q547" s="167"/>
      <c r="R547" s="167"/>
      <c r="S547" s="167"/>
      <c r="T547" s="167"/>
      <c r="U547" s="167"/>
      <c r="V547" s="167"/>
      <c r="W547" s="167"/>
    </row>
    <row r="548" spans="1:23" ht="18" x14ac:dyDescent="0.2">
      <c r="A548" s="167"/>
      <c r="B548" s="167"/>
      <c r="C548" s="196"/>
      <c r="D548" s="196"/>
      <c r="E548" s="196"/>
      <c r="F548" s="177"/>
      <c r="G548" s="177"/>
      <c r="H548" s="177"/>
      <c r="I548" s="168"/>
      <c r="J548" s="167"/>
      <c r="K548" s="167"/>
      <c r="M548" s="167"/>
      <c r="N548" s="167"/>
      <c r="O548" s="167"/>
      <c r="P548" s="167"/>
      <c r="Q548" s="167"/>
      <c r="R548" s="167"/>
      <c r="S548" s="167"/>
      <c r="T548" s="167"/>
      <c r="U548" s="167"/>
      <c r="V548" s="167"/>
      <c r="W548" s="167"/>
    </row>
    <row r="549" spans="1:23" ht="18" x14ac:dyDescent="0.2">
      <c r="A549" s="167"/>
      <c r="B549" s="167"/>
      <c r="C549" s="196"/>
      <c r="D549" s="196"/>
      <c r="E549" s="196"/>
      <c r="F549" s="177"/>
      <c r="G549" s="177"/>
      <c r="H549" s="177"/>
      <c r="I549" s="168"/>
      <c r="J549" s="167"/>
      <c r="K549" s="167"/>
      <c r="M549" s="167"/>
      <c r="N549" s="167"/>
      <c r="O549" s="167"/>
      <c r="P549" s="167"/>
      <c r="Q549" s="167"/>
      <c r="R549" s="167"/>
      <c r="S549" s="167"/>
      <c r="T549" s="167"/>
      <c r="U549" s="167"/>
      <c r="V549" s="167"/>
      <c r="W549" s="167"/>
    </row>
    <row r="550" spans="1:23" ht="18" x14ac:dyDescent="0.2">
      <c r="A550" s="167"/>
      <c r="B550" s="167"/>
      <c r="C550" s="196"/>
      <c r="D550" s="196"/>
      <c r="E550" s="196"/>
      <c r="F550" s="177"/>
      <c r="G550" s="177"/>
      <c r="H550" s="177"/>
      <c r="I550" s="168"/>
      <c r="J550" s="167"/>
      <c r="K550" s="167"/>
      <c r="M550" s="167"/>
      <c r="N550" s="167"/>
      <c r="O550" s="167"/>
      <c r="P550" s="167"/>
      <c r="Q550" s="167"/>
      <c r="R550" s="167"/>
      <c r="S550" s="167"/>
      <c r="T550" s="167"/>
      <c r="U550" s="167"/>
      <c r="V550" s="167"/>
      <c r="W550" s="167"/>
    </row>
    <row r="551" spans="1:23" ht="18" x14ac:dyDescent="0.2">
      <c r="A551" s="167"/>
      <c r="B551" s="167"/>
      <c r="C551" s="196"/>
      <c r="D551" s="196"/>
      <c r="E551" s="196"/>
      <c r="F551" s="177"/>
      <c r="G551" s="177"/>
      <c r="H551" s="177"/>
      <c r="I551" s="168"/>
      <c r="J551" s="167"/>
      <c r="K551" s="167"/>
      <c r="M551" s="167"/>
      <c r="N551" s="167"/>
      <c r="O551" s="167"/>
      <c r="P551" s="167"/>
      <c r="Q551" s="167"/>
      <c r="R551" s="167"/>
      <c r="S551" s="167"/>
      <c r="T551" s="167"/>
      <c r="U551" s="167"/>
      <c r="V551" s="167"/>
      <c r="W551" s="167"/>
    </row>
    <row r="552" spans="1:23" ht="18" x14ac:dyDescent="0.2">
      <c r="A552" s="167"/>
      <c r="B552" s="167"/>
      <c r="C552" s="196"/>
      <c r="D552" s="196"/>
      <c r="E552" s="196"/>
      <c r="F552" s="177"/>
      <c r="G552" s="177"/>
      <c r="H552" s="177"/>
      <c r="I552" s="168"/>
      <c r="J552" s="167"/>
      <c r="K552" s="167"/>
      <c r="M552" s="167"/>
      <c r="N552" s="167"/>
      <c r="O552" s="167"/>
      <c r="P552" s="167"/>
      <c r="Q552" s="167"/>
      <c r="R552" s="167"/>
      <c r="S552" s="167"/>
      <c r="T552" s="167"/>
      <c r="U552" s="167"/>
      <c r="V552" s="167"/>
      <c r="W552" s="167"/>
    </row>
    <row r="553" spans="1:23" ht="18" x14ac:dyDescent="0.2">
      <c r="A553" s="167"/>
      <c r="B553" s="167"/>
      <c r="C553" s="196"/>
      <c r="D553" s="196"/>
      <c r="E553" s="196"/>
      <c r="F553" s="177"/>
      <c r="G553" s="177"/>
      <c r="H553" s="177"/>
      <c r="I553" s="168"/>
      <c r="J553" s="167"/>
      <c r="K553" s="167"/>
      <c r="M553" s="167"/>
      <c r="N553" s="167"/>
      <c r="O553" s="167"/>
      <c r="P553" s="167"/>
      <c r="Q553" s="167"/>
      <c r="R553" s="167"/>
      <c r="S553" s="167"/>
      <c r="T553" s="167"/>
      <c r="U553" s="167"/>
      <c r="V553" s="167"/>
      <c r="W553" s="167"/>
    </row>
    <row r="554" spans="1:23" ht="18" x14ac:dyDescent="0.2">
      <c r="A554" s="167"/>
      <c r="B554" s="167"/>
      <c r="C554" s="196"/>
      <c r="D554" s="196"/>
      <c r="E554" s="196"/>
      <c r="F554" s="177"/>
      <c r="G554" s="177"/>
      <c r="H554" s="177"/>
      <c r="I554" s="168"/>
      <c r="J554" s="167"/>
      <c r="K554" s="167"/>
      <c r="M554" s="167"/>
      <c r="N554" s="167"/>
      <c r="O554" s="167"/>
      <c r="P554" s="167"/>
      <c r="Q554" s="167"/>
      <c r="R554" s="167"/>
      <c r="S554" s="167"/>
      <c r="T554" s="167"/>
      <c r="U554" s="167"/>
      <c r="V554" s="167"/>
      <c r="W554" s="167"/>
    </row>
    <row r="555" spans="1:23" ht="18" x14ac:dyDescent="0.2">
      <c r="A555" s="167"/>
      <c r="B555" s="167"/>
      <c r="C555" s="196"/>
      <c r="D555" s="196"/>
      <c r="E555" s="196"/>
      <c r="F555" s="177"/>
      <c r="G555" s="177"/>
      <c r="H555" s="177"/>
      <c r="I555" s="168"/>
      <c r="J555" s="167"/>
      <c r="K555" s="167"/>
      <c r="M555" s="167"/>
      <c r="N555" s="167"/>
      <c r="O555" s="167"/>
      <c r="P555" s="167"/>
      <c r="Q555" s="167"/>
      <c r="R555" s="167"/>
      <c r="S555" s="167"/>
      <c r="T555" s="167"/>
      <c r="U555" s="167"/>
      <c r="V555" s="167"/>
      <c r="W555" s="167"/>
    </row>
    <row r="556" spans="1:23" ht="18" x14ac:dyDescent="0.2">
      <c r="A556" s="167"/>
      <c r="B556" s="167"/>
      <c r="C556" s="196"/>
      <c r="D556" s="196"/>
      <c r="E556" s="196"/>
      <c r="F556" s="177"/>
      <c r="G556" s="177"/>
      <c r="H556" s="177"/>
      <c r="I556" s="168"/>
      <c r="J556" s="167"/>
      <c r="K556" s="167"/>
      <c r="M556" s="167"/>
      <c r="N556" s="167"/>
      <c r="O556" s="167"/>
      <c r="P556" s="167"/>
      <c r="Q556" s="167"/>
      <c r="R556" s="167"/>
      <c r="S556" s="167"/>
      <c r="T556" s="167"/>
      <c r="U556" s="167"/>
      <c r="V556" s="167"/>
      <c r="W556" s="167"/>
    </row>
    <row r="557" spans="1:23" ht="18" x14ac:dyDescent="0.2">
      <c r="A557" s="167"/>
      <c r="B557" s="167"/>
      <c r="C557" s="196"/>
      <c r="D557" s="196"/>
      <c r="E557" s="196"/>
      <c r="F557" s="177"/>
      <c r="G557" s="177"/>
      <c r="H557" s="177"/>
      <c r="I557" s="168"/>
      <c r="J557" s="167"/>
      <c r="K557" s="167"/>
      <c r="M557" s="167"/>
      <c r="N557" s="167"/>
      <c r="O557" s="167"/>
      <c r="P557" s="167"/>
      <c r="Q557" s="167"/>
      <c r="R557" s="167"/>
      <c r="S557" s="167"/>
      <c r="T557" s="167"/>
      <c r="U557" s="167"/>
      <c r="V557" s="167"/>
      <c r="W557" s="167"/>
    </row>
    <row r="558" spans="1:23" ht="18" x14ac:dyDescent="0.2">
      <c r="A558" s="167"/>
      <c r="B558" s="167"/>
      <c r="C558" s="167"/>
      <c r="D558" s="167"/>
      <c r="E558" s="167"/>
      <c r="F558" s="167"/>
      <c r="G558" s="167"/>
      <c r="H558" s="167"/>
      <c r="I558" s="167"/>
      <c r="J558" s="167"/>
      <c r="K558" s="167"/>
      <c r="M558" s="167"/>
      <c r="N558" s="167"/>
      <c r="O558" s="167"/>
      <c r="P558" s="167"/>
      <c r="Q558" s="167"/>
      <c r="R558" s="167"/>
      <c r="S558" s="167"/>
      <c r="T558" s="167"/>
      <c r="U558" s="167"/>
      <c r="V558" s="167"/>
      <c r="W558" s="167"/>
    </row>
    <row r="559" spans="1:23" ht="21" x14ac:dyDescent="0.2">
      <c r="A559" s="606" t="s">
        <v>714</v>
      </c>
      <c r="B559" s="606"/>
      <c r="C559" s="606"/>
      <c r="D559" s="606"/>
      <c r="E559" s="606"/>
      <c r="F559" s="606"/>
      <c r="G559" s="606"/>
      <c r="H559" s="606"/>
      <c r="I559" s="606"/>
      <c r="J559" s="606"/>
      <c r="K559" s="606"/>
      <c r="L559" s="606"/>
      <c r="M559" s="606"/>
      <c r="N559" s="167"/>
      <c r="O559" s="167"/>
      <c r="P559" s="167"/>
      <c r="Q559" s="167"/>
      <c r="R559" s="167"/>
      <c r="S559" s="167"/>
      <c r="T559" s="167"/>
      <c r="U559" s="167"/>
      <c r="V559" s="167"/>
      <c r="W559" s="167"/>
    </row>
    <row r="560" spans="1:23" ht="44.25" x14ac:dyDescent="0.2">
      <c r="A560" s="312"/>
      <c r="B560" s="312"/>
      <c r="C560" s="312"/>
      <c r="D560" s="312"/>
      <c r="E560" s="312"/>
      <c r="F560" s="312"/>
      <c r="G560" s="312"/>
      <c r="H560" s="312"/>
      <c r="I560" s="312"/>
      <c r="J560" s="312"/>
      <c r="K560" s="312"/>
      <c r="L560" s="312"/>
      <c r="M560" s="312"/>
      <c r="N560" s="167"/>
      <c r="O560" s="167"/>
      <c r="P560" s="167"/>
      <c r="Q560" s="167"/>
      <c r="R560" s="167"/>
      <c r="S560" s="167"/>
      <c r="T560" s="167"/>
      <c r="U560" s="167"/>
      <c r="V560" s="167"/>
      <c r="W560" s="167"/>
    </row>
    <row r="561" spans="1:23" ht="18.75" x14ac:dyDescent="0.2">
      <c r="A561" s="167"/>
      <c r="B561" s="607" t="s">
        <v>690</v>
      </c>
      <c r="C561" s="607"/>
      <c r="D561" s="607"/>
      <c r="E561" s="607"/>
      <c r="F561" s="607"/>
      <c r="G561" s="607"/>
      <c r="H561" s="607"/>
      <c r="I561" s="607"/>
      <c r="J561" s="607"/>
      <c r="K561" s="607"/>
      <c r="L561" s="607"/>
      <c r="M561" s="167"/>
      <c r="N561" s="167"/>
      <c r="O561" s="167"/>
      <c r="P561" s="167"/>
      <c r="Q561" s="167"/>
      <c r="R561" s="167"/>
      <c r="S561" s="167"/>
      <c r="T561" s="167"/>
      <c r="U561" s="167"/>
      <c r="V561" s="167"/>
      <c r="W561" s="167"/>
    </row>
    <row r="562" spans="1:23" ht="44.25" x14ac:dyDescent="0.2">
      <c r="A562" s="312"/>
      <c r="B562" s="312"/>
      <c r="C562" s="312"/>
      <c r="D562" s="312"/>
      <c r="E562" s="312"/>
      <c r="F562" s="312"/>
      <c r="G562" s="312"/>
      <c r="H562" s="312"/>
      <c r="I562" s="312"/>
      <c r="J562" s="312"/>
      <c r="K562" s="312"/>
      <c r="L562" s="312"/>
      <c r="M562" s="312"/>
      <c r="N562" s="167"/>
      <c r="O562" s="167"/>
      <c r="P562" s="167"/>
      <c r="Q562" s="167"/>
      <c r="R562" s="167"/>
      <c r="S562" s="167"/>
      <c r="T562" s="167"/>
      <c r="U562" s="167"/>
      <c r="V562" s="167"/>
      <c r="W562" s="167"/>
    </row>
    <row r="563" spans="1:23" ht="18" x14ac:dyDescent="0.2">
      <c r="A563" s="167"/>
      <c r="J563" s="167"/>
      <c r="K563" s="167"/>
      <c r="M563" s="167"/>
      <c r="N563" s="167"/>
      <c r="O563" s="167"/>
      <c r="P563" s="167"/>
      <c r="Q563" s="167"/>
      <c r="R563" s="167"/>
      <c r="S563" s="167"/>
      <c r="T563" s="167"/>
      <c r="U563" s="167"/>
      <c r="V563" s="167"/>
      <c r="W563" s="167"/>
    </row>
    <row r="564" spans="1:23" ht="18" x14ac:dyDescent="0.2">
      <c r="A564" s="167"/>
      <c r="J564" s="167"/>
      <c r="K564" s="167"/>
      <c r="M564" s="167"/>
      <c r="N564" s="167"/>
      <c r="O564" s="167"/>
      <c r="P564" s="167"/>
      <c r="Q564" s="167"/>
      <c r="R564" s="167"/>
      <c r="S564" s="167"/>
      <c r="T564" s="167"/>
      <c r="U564" s="167"/>
      <c r="V564" s="167"/>
      <c r="W564" s="167"/>
    </row>
    <row r="565" spans="1:23" ht="18" x14ac:dyDescent="0.2">
      <c r="A565" s="167"/>
      <c r="B565" s="267"/>
      <c r="C565" s="306" t="s">
        <v>319</v>
      </c>
      <c r="D565" s="306"/>
      <c r="E565" s="306"/>
      <c r="F565" s="306"/>
      <c r="G565" s="306"/>
      <c r="H565" s="306"/>
      <c r="I565" s="307"/>
      <c r="J565" s="307"/>
      <c r="K565" s="307"/>
      <c r="L565" s="307"/>
      <c r="M565" s="167"/>
      <c r="N565" s="167"/>
      <c r="O565" s="167"/>
      <c r="P565" s="167"/>
      <c r="Q565" s="167"/>
      <c r="R565" s="167"/>
      <c r="S565" s="167"/>
      <c r="T565" s="167"/>
      <c r="U565" s="167"/>
      <c r="V565" s="167"/>
      <c r="W565" s="167"/>
    </row>
    <row r="566" spans="1:23" ht="18" x14ac:dyDescent="0.2">
      <c r="A566" s="167"/>
      <c r="B566" s="267"/>
      <c r="C566" s="306"/>
      <c r="D566" s="306"/>
      <c r="E566" s="306"/>
      <c r="F566" s="306"/>
      <c r="G566" s="306"/>
      <c r="H566" s="306"/>
      <c r="I566" s="307"/>
      <c r="J566" s="307"/>
      <c r="K566" s="307"/>
      <c r="L566" s="307"/>
      <c r="M566" s="167"/>
      <c r="N566" s="167"/>
      <c r="O566" s="167"/>
      <c r="P566" s="167"/>
      <c r="Q566" s="167"/>
      <c r="R566" s="167"/>
      <c r="S566" s="167"/>
      <c r="T566" s="167"/>
      <c r="U566" s="167"/>
      <c r="V566" s="167"/>
      <c r="W566" s="167"/>
    </row>
    <row r="567" spans="1:23" ht="18" x14ac:dyDescent="0.2">
      <c r="A567" s="167"/>
      <c r="B567" s="267"/>
      <c r="C567" s="306" t="s">
        <v>36</v>
      </c>
      <c r="D567" s="306"/>
      <c r="E567" s="306"/>
      <c r="F567" s="306"/>
      <c r="G567" s="306"/>
      <c r="H567" s="306"/>
      <c r="I567" s="307"/>
      <c r="J567" s="307"/>
      <c r="K567" s="307"/>
      <c r="L567" s="307"/>
      <c r="M567" s="167"/>
      <c r="N567" s="167"/>
      <c r="O567" s="167"/>
      <c r="P567" s="167"/>
      <c r="Q567" s="167"/>
      <c r="R567" s="167"/>
      <c r="S567" s="167"/>
      <c r="T567" s="167"/>
      <c r="U567" s="167"/>
      <c r="V567" s="167"/>
      <c r="W567" s="167"/>
    </row>
    <row r="568" spans="1:23" ht="18" x14ac:dyDescent="0.2">
      <c r="A568" s="167"/>
      <c r="B568" s="267"/>
      <c r="C568" s="306" t="s">
        <v>37</v>
      </c>
      <c r="D568" s="306"/>
      <c r="E568" s="306"/>
      <c r="F568" s="306"/>
      <c r="G568" s="306"/>
      <c r="H568" s="306"/>
      <c r="I568" s="307"/>
      <c r="J568" s="307"/>
      <c r="K568" s="307"/>
      <c r="L568" s="307"/>
      <c r="M568" s="167"/>
      <c r="N568" s="167"/>
      <c r="O568" s="167"/>
      <c r="P568" s="167"/>
      <c r="Q568" s="167"/>
      <c r="R568" s="167"/>
      <c r="S568" s="167"/>
      <c r="T568" s="167"/>
      <c r="U568" s="167"/>
      <c r="V568" s="167"/>
      <c r="W568" s="167"/>
    </row>
    <row r="569" spans="1:23" ht="18" x14ac:dyDescent="0.2">
      <c r="A569" s="167"/>
      <c r="B569" s="267"/>
      <c r="C569" s="306"/>
      <c r="D569" s="306"/>
      <c r="E569" s="306"/>
      <c r="F569" s="306"/>
      <c r="G569" s="306"/>
      <c r="H569" s="306"/>
      <c r="I569" s="307"/>
      <c r="J569" s="307"/>
      <c r="K569" s="307"/>
      <c r="L569" s="307"/>
      <c r="M569" s="167"/>
      <c r="N569" s="167"/>
      <c r="O569" s="167"/>
      <c r="P569" s="167"/>
      <c r="Q569" s="167"/>
      <c r="R569" s="167"/>
      <c r="S569" s="167"/>
      <c r="T569" s="167"/>
      <c r="U569" s="167"/>
      <c r="V569" s="167"/>
      <c r="W569" s="167"/>
    </row>
    <row r="570" spans="1:23" ht="18" x14ac:dyDescent="0.2">
      <c r="A570" s="167"/>
      <c r="B570" s="267"/>
      <c r="C570" s="306" t="str">
        <f ca="1">+IF(L570&gt;0," La trésorerie dégagée pouvant être prélevée sans imposition supplémentaire est de :"," Dans votre situation, aucune trésorerie n'est disponible (trésorerie négative) ")</f>
        <v xml:space="preserve"> Dans votre situation, aucune trésorerie n'est disponible (trésorerie négative) </v>
      </c>
      <c r="D570" s="306"/>
      <c r="E570" s="306"/>
      <c r="F570" s="306"/>
      <c r="G570" s="306"/>
      <c r="H570" s="306"/>
      <c r="I570" s="307"/>
      <c r="J570" s="307"/>
      <c r="K570" s="307"/>
      <c r="L570" s="306">
        <f ca="1">MAX(0,I524)</f>
        <v>0</v>
      </c>
      <c r="M570" s="167"/>
      <c r="N570" s="167"/>
      <c r="O570" s="167"/>
      <c r="P570" s="167"/>
      <c r="Q570" s="167"/>
      <c r="R570" s="167"/>
      <c r="S570" s="167"/>
      <c r="T570" s="167"/>
      <c r="U570" s="167"/>
      <c r="V570" s="167"/>
      <c r="W570" s="167"/>
    </row>
    <row r="571" spans="1:23" ht="18" x14ac:dyDescent="0.2">
      <c r="A571" s="167"/>
      <c r="B571" s="267"/>
      <c r="C571" s="306"/>
      <c r="D571" s="306"/>
      <c r="E571" s="306"/>
      <c r="F571" s="306"/>
      <c r="G571" s="306"/>
      <c r="H571" s="306"/>
      <c r="I571" s="307"/>
      <c r="J571" s="307"/>
      <c r="K571" s="307"/>
      <c r="L571" s="307"/>
      <c r="M571" s="167"/>
      <c r="O571" s="167"/>
      <c r="P571" s="167"/>
      <c r="Q571" s="167"/>
      <c r="R571" s="167"/>
      <c r="S571" s="167"/>
      <c r="T571" s="167"/>
      <c r="U571" s="167"/>
      <c r="V571" s="167"/>
      <c r="W571" s="167"/>
    </row>
    <row r="572" spans="1:23" ht="18" x14ac:dyDescent="0.2">
      <c r="A572" s="167"/>
      <c r="B572" s="267"/>
      <c r="C572" s="306"/>
      <c r="D572" s="306"/>
      <c r="E572" s="306"/>
      <c r="F572" s="306"/>
      <c r="G572" s="306"/>
      <c r="H572" s="306"/>
      <c r="I572" s="307"/>
      <c r="J572" s="307"/>
      <c r="K572" s="307"/>
      <c r="L572" s="307"/>
      <c r="M572" s="167"/>
      <c r="O572" s="167"/>
      <c r="P572" s="167"/>
      <c r="Q572" s="167"/>
      <c r="R572" s="167"/>
      <c r="S572" s="167"/>
      <c r="T572" s="167"/>
      <c r="U572" s="167"/>
      <c r="V572" s="167"/>
      <c r="W572" s="167"/>
    </row>
    <row r="573" spans="1:23" ht="18" x14ac:dyDescent="0.2">
      <c r="A573" s="167"/>
      <c r="B573" s="267"/>
      <c r="C573" s="306" t="s">
        <v>38</v>
      </c>
      <c r="D573" s="306"/>
      <c r="E573" s="306"/>
      <c r="F573" s="306"/>
      <c r="G573" s="306"/>
      <c r="H573" s="306"/>
      <c r="I573" s="307"/>
      <c r="J573" s="307"/>
      <c r="K573" s="308"/>
      <c r="L573" s="306">
        <f ca="1">IF(J362-F267&gt;0,J362-F267,0)</f>
        <v>6282.1204700900998</v>
      </c>
      <c r="M573" s="167"/>
      <c r="O573" s="167"/>
      <c r="P573" s="167"/>
      <c r="Q573" s="167"/>
      <c r="R573" s="167"/>
      <c r="S573" s="167"/>
      <c r="T573" s="167"/>
      <c r="U573" s="167"/>
      <c r="V573" s="167"/>
      <c r="W573" s="167"/>
    </row>
    <row r="574" spans="1:23" ht="18" x14ac:dyDescent="0.2">
      <c r="A574" s="167"/>
      <c r="B574" s="267"/>
      <c r="C574" s="306" t="s">
        <v>647</v>
      </c>
      <c r="D574" s="306"/>
      <c r="E574" s="306"/>
      <c r="F574" s="306"/>
      <c r="G574" s="306">
        <f ca="1">G524</f>
        <v>-1217.8795299099002</v>
      </c>
      <c r="H574" s="306"/>
      <c r="I574" s="307"/>
      <c r="J574" s="307"/>
      <c r="L574" s="308"/>
      <c r="M574" s="167"/>
      <c r="O574" s="167"/>
      <c r="P574" s="167"/>
      <c r="Q574" s="167"/>
      <c r="R574" s="167"/>
      <c r="S574" s="167"/>
      <c r="T574" s="167"/>
      <c r="U574" s="167"/>
      <c r="V574" s="167"/>
      <c r="W574" s="167"/>
    </row>
    <row r="575" spans="1:23" ht="18" x14ac:dyDescent="0.2">
      <c r="A575" s="167"/>
      <c r="B575" s="267"/>
      <c r="C575" s="306"/>
      <c r="D575" s="306"/>
      <c r="E575" s="306"/>
      <c r="F575" s="306"/>
      <c r="G575" s="306"/>
      <c r="H575" s="306"/>
      <c r="I575" s="307"/>
      <c r="J575" s="307"/>
      <c r="K575" s="306"/>
      <c r="L575" s="308"/>
      <c r="M575" s="167"/>
      <c r="O575" s="167"/>
      <c r="P575" s="167"/>
      <c r="Q575" s="167"/>
      <c r="R575" s="167"/>
      <c r="S575" s="167"/>
      <c r="T575" s="167"/>
      <c r="U575" s="167"/>
      <c r="V575" s="167"/>
      <c r="W575" s="167"/>
    </row>
    <row r="576" spans="1:23" ht="18" x14ac:dyDescent="0.2">
      <c r="A576" s="167"/>
      <c r="B576" s="267"/>
      <c r="C576" s="306" t="s">
        <v>756</v>
      </c>
      <c r="D576" s="306"/>
      <c r="E576" s="306"/>
      <c r="F576" s="306"/>
      <c r="G576" s="306"/>
      <c r="H576" s="306"/>
      <c r="I576" s="307"/>
      <c r="J576" s="307"/>
      <c r="K576" s="308"/>
      <c r="L576" s="490">
        <v>1381</v>
      </c>
      <c r="M576" s="167"/>
      <c r="O576" s="167"/>
      <c r="P576" s="167"/>
      <c r="Q576" s="167"/>
      <c r="R576" s="167"/>
      <c r="S576" s="167"/>
      <c r="T576" s="167"/>
      <c r="U576" s="167"/>
      <c r="V576" s="167"/>
      <c r="W576" s="167"/>
    </row>
    <row r="577" spans="1:23" ht="18" x14ac:dyDescent="0.2">
      <c r="A577" s="167"/>
      <c r="B577" s="267"/>
      <c r="C577" s="307"/>
      <c r="D577" s="307"/>
      <c r="E577" s="307"/>
      <c r="F577" s="307"/>
      <c r="G577" s="307"/>
      <c r="H577" s="306"/>
      <c r="I577" s="307"/>
      <c r="J577" s="307"/>
      <c r="K577" s="308"/>
      <c r="L577" s="308"/>
      <c r="M577" s="167"/>
      <c r="N577" s="167"/>
      <c r="O577" s="167"/>
      <c r="P577" s="167"/>
      <c r="Q577" s="167"/>
      <c r="R577" s="167"/>
      <c r="S577" s="167"/>
      <c r="T577" s="167"/>
      <c r="U577" s="167"/>
      <c r="V577" s="167"/>
      <c r="W577" s="167"/>
    </row>
    <row r="578" spans="1:23" ht="18" x14ac:dyDescent="0.2">
      <c r="A578" s="167"/>
      <c r="B578" s="267"/>
      <c r="C578" s="306" t="s">
        <v>757</v>
      </c>
      <c r="D578" s="306"/>
      <c r="E578" s="306"/>
      <c r="F578" s="306"/>
      <c r="G578" s="306"/>
      <c r="H578" s="307"/>
      <c r="I578" s="307"/>
      <c r="J578" s="307"/>
      <c r="K578" s="308"/>
      <c r="L578" s="308"/>
      <c r="M578" s="167"/>
      <c r="N578" s="167"/>
      <c r="O578" s="167"/>
      <c r="P578" s="167"/>
      <c r="Q578" s="167"/>
      <c r="R578" s="167"/>
      <c r="S578" s="167"/>
      <c r="T578" s="167"/>
      <c r="U578" s="167"/>
      <c r="V578" s="167"/>
      <c r="W578" s="167"/>
    </row>
    <row r="579" spans="1:23" ht="18" x14ac:dyDescent="0.2">
      <c r="A579" s="167"/>
      <c r="B579" s="267"/>
      <c r="C579" s="306"/>
      <c r="D579" s="306"/>
      <c r="E579" s="306"/>
      <c r="F579" s="306"/>
      <c r="G579" s="306"/>
      <c r="H579" s="307"/>
      <c r="I579" s="307"/>
      <c r="J579" s="307"/>
      <c r="K579" s="308"/>
      <c r="L579" s="308"/>
      <c r="M579" s="167"/>
      <c r="N579" s="167"/>
      <c r="O579" s="167"/>
      <c r="P579" s="167"/>
      <c r="Q579" s="167"/>
      <c r="R579" s="167"/>
      <c r="S579" s="167"/>
      <c r="T579" s="167"/>
      <c r="U579" s="167"/>
      <c r="V579" s="167"/>
      <c r="W579" s="167"/>
    </row>
    <row r="580" spans="1:23" ht="18" x14ac:dyDescent="0.2">
      <c r="A580" s="167"/>
      <c r="B580" s="267"/>
      <c r="C580" s="306"/>
      <c r="D580" s="307"/>
      <c r="E580" s="307" t="s">
        <v>588</v>
      </c>
      <c r="F580" s="307"/>
      <c r="G580" s="309"/>
      <c r="H580" s="307"/>
      <c r="I580" s="307"/>
      <c r="J580" s="307"/>
      <c r="K580" s="307"/>
      <c r="L580" s="306">
        <f ca="1">IF(E134=1,ir!C46-simulateur!G463,IF(E134=1.5,ir!D46-simulateur!G463,IF(E134=2,ir!E46-simulateur!G463,IF(E134=2.5,ir!F46-simulateur!G463,IF(E134=3,ir!G46-simulateur!G463,IF(E134=3.5,ir!H46-simulateur!G463,IF(E134=4,ir!I46-simulateur!G463,IF(E134=4.5,ir!J46-simulateur!G463))))))))</f>
        <v>248.58000000000175</v>
      </c>
      <c r="M580" s="167"/>
      <c r="O580" s="167"/>
      <c r="P580" s="167"/>
      <c r="Q580" s="167"/>
      <c r="R580" s="167"/>
      <c r="S580" s="167"/>
      <c r="T580" s="167"/>
      <c r="U580" s="167"/>
      <c r="V580" s="167"/>
      <c r="W580" s="167"/>
    </row>
    <row r="581" spans="1:23" ht="18" x14ac:dyDescent="0.2">
      <c r="A581" s="167"/>
      <c r="B581" s="267"/>
      <c r="C581" s="307"/>
      <c r="D581" s="307"/>
      <c r="E581" s="307"/>
      <c r="F581" s="307"/>
      <c r="G581" s="307"/>
      <c r="H581" s="307"/>
      <c r="I581" s="307"/>
      <c r="J581" s="307"/>
      <c r="K581" s="308"/>
      <c r="L581" s="308"/>
      <c r="M581" s="167"/>
      <c r="O581" s="167"/>
      <c r="P581" s="167"/>
      <c r="Q581" s="167"/>
      <c r="R581" s="167"/>
      <c r="S581" s="167"/>
      <c r="T581" s="167"/>
      <c r="U581" s="167"/>
      <c r="V581" s="167"/>
      <c r="W581" s="167"/>
    </row>
    <row r="582" spans="1:23" ht="18" x14ac:dyDescent="0.2">
      <c r="A582" s="167"/>
      <c r="B582" s="267"/>
      <c r="C582" s="307"/>
      <c r="D582" s="307"/>
      <c r="E582" s="307" t="s">
        <v>648</v>
      </c>
      <c r="F582" s="307"/>
      <c r="G582" s="307"/>
      <c r="H582" s="307"/>
      <c r="I582" s="307"/>
      <c r="J582" s="307"/>
      <c r="K582" s="307"/>
      <c r="L582" s="307">
        <f ca="1">'ch gerant soc '!D60-'ch gerant soc '!B60</f>
        <v>312.07685755386046</v>
      </c>
      <c r="M582" s="167"/>
      <c r="O582" s="167"/>
      <c r="P582" s="167"/>
      <c r="Q582" s="167"/>
      <c r="R582" s="167"/>
      <c r="S582" s="167"/>
      <c r="T582" s="167"/>
      <c r="U582" s="167"/>
      <c r="V582" s="167"/>
      <c r="W582" s="167"/>
    </row>
    <row r="583" spans="1:23" ht="18" x14ac:dyDescent="0.2">
      <c r="A583" s="167"/>
      <c r="B583" s="177"/>
      <c r="C583" s="308"/>
      <c r="D583" s="307"/>
      <c r="E583" s="308"/>
      <c r="F583" s="308"/>
      <c r="G583" s="308"/>
      <c r="H583" s="308"/>
      <c r="I583" s="308"/>
      <c r="J583" s="308"/>
      <c r="K583" s="307"/>
      <c r="L583" s="307"/>
      <c r="M583" s="167"/>
      <c r="O583" s="167"/>
      <c r="P583" s="167"/>
      <c r="Q583" s="167"/>
      <c r="R583" s="167"/>
      <c r="S583" s="167"/>
      <c r="T583" s="167"/>
      <c r="U583" s="167"/>
      <c r="V583" s="167"/>
      <c r="W583" s="167"/>
    </row>
    <row r="584" spans="1:23" ht="18" x14ac:dyDescent="0.2">
      <c r="A584" s="167"/>
      <c r="B584" s="266"/>
      <c r="C584" s="308"/>
      <c r="D584" s="308"/>
      <c r="E584" s="306" t="s">
        <v>649</v>
      </c>
      <c r="F584" s="308"/>
      <c r="G584" s="308"/>
      <c r="H584" s="308"/>
      <c r="I584" s="308"/>
      <c r="J584" s="308"/>
      <c r="K584" s="307"/>
      <c r="L584" s="306">
        <f ca="1">L580+L582</f>
        <v>560.65685755386221</v>
      </c>
      <c r="M584" s="167"/>
      <c r="O584" s="167"/>
      <c r="P584" s="167"/>
      <c r="Q584" s="167"/>
      <c r="R584" s="167"/>
      <c r="S584" s="167"/>
      <c r="T584" s="167"/>
      <c r="U584" s="167"/>
      <c r="V584" s="167"/>
      <c r="W584" s="167"/>
    </row>
    <row r="585" spans="1:23" ht="18" x14ac:dyDescent="0.2">
      <c r="A585" s="167"/>
      <c r="B585" s="177"/>
      <c r="C585" s="308"/>
      <c r="D585" s="308"/>
      <c r="E585" s="308"/>
      <c r="F585" s="308"/>
      <c r="G585" s="308"/>
      <c r="H585" s="308"/>
      <c r="I585" s="308"/>
      <c r="J585" s="308"/>
      <c r="K585" s="307"/>
      <c r="L585" s="307"/>
      <c r="M585" s="167"/>
      <c r="N585" s="167"/>
      <c r="O585" s="167"/>
      <c r="P585" s="167"/>
      <c r="Q585" s="167"/>
      <c r="R585" s="167"/>
      <c r="S585" s="167"/>
      <c r="T585" s="167"/>
      <c r="U585" s="167"/>
      <c r="V585" s="167"/>
      <c r="W585" s="167"/>
    </row>
    <row r="586" spans="1:23" ht="18" x14ac:dyDescent="0.2">
      <c r="A586" s="167"/>
      <c r="B586" s="177"/>
      <c r="C586" s="310"/>
      <c r="D586" s="310"/>
      <c r="E586" s="310"/>
      <c r="F586" s="310"/>
      <c r="G586" s="310"/>
      <c r="H586" s="310"/>
      <c r="I586" s="310"/>
      <c r="J586" s="310"/>
      <c r="K586" s="310"/>
      <c r="L586" s="307"/>
      <c r="M586" s="167"/>
      <c r="O586" s="167"/>
      <c r="P586" s="167"/>
      <c r="Q586" s="167"/>
      <c r="R586" s="167"/>
      <c r="S586" s="167"/>
      <c r="T586" s="167"/>
      <c r="U586" s="167"/>
      <c r="V586" s="167"/>
      <c r="W586" s="167"/>
    </row>
    <row r="587" spans="1:23" ht="62.25" customHeight="1" x14ac:dyDescent="0.2">
      <c r="A587" s="167"/>
      <c r="B587" s="177"/>
      <c r="C587" s="551" t="s">
        <v>755</v>
      </c>
      <c r="D587" s="551"/>
      <c r="E587" s="551"/>
      <c r="F587" s="551"/>
      <c r="G587" s="551"/>
      <c r="H587" s="551"/>
      <c r="I587" s="551"/>
      <c r="J587" s="551"/>
      <c r="K587" s="551"/>
      <c r="L587" s="307"/>
      <c r="M587" s="167"/>
      <c r="O587" s="167"/>
      <c r="P587" s="167"/>
      <c r="Q587" s="167"/>
      <c r="R587" s="167"/>
      <c r="S587" s="167"/>
      <c r="T587" s="167"/>
      <c r="U587" s="167"/>
      <c r="V587" s="167"/>
      <c r="W587" s="167"/>
    </row>
    <row r="588" spans="1:23" ht="18.75" x14ac:dyDescent="0.2">
      <c r="A588" s="167"/>
      <c r="B588" s="177"/>
      <c r="C588" s="311"/>
      <c r="D588" s="306"/>
      <c r="E588" s="307"/>
      <c r="F588" s="307"/>
      <c r="G588" s="307"/>
      <c r="H588" s="307"/>
      <c r="I588" s="307"/>
      <c r="J588" s="307"/>
      <c r="K588" s="307"/>
      <c r="L588" s="307"/>
      <c r="M588" s="167"/>
      <c r="O588" s="167"/>
      <c r="P588" s="167"/>
      <c r="Q588" s="167"/>
      <c r="R588" s="167"/>
      <c r="S588" s="167"/>
      <c r="T588" s="167"/>
      <c r="U588" s="167"/>
      <c r="V588" s="167"/>
      <c r="W588" s="167"/>
    </row>
    <row r="589" spans="1:23" ht="30" customHeight="1" x14ac:dyDescent="0.2">
      <c r="A589" s="167"/>
      <c r="B589" s="177"/>
      <c r="C589" s="550" t="s">
        <v>758</v>
      </c>
      <c r="D589" s="550"/>
      <c r="E589" s="550"/>
      <c r="F589" s="550"/>
      <c r="G589" s="550"/>
      <c r="H589" s="550"/>
      <c r="I589" s="550"/>
      <c r="J589" s="550"/>
      <c r="K589" s="550"/>
      <c r="L589" s="550"/>
      <c r="O589" s="167"/>
      <c r="P589" s="167"/>
      <c r="Q589" s="167"/>
      <c r="R589" s="167"/>
      <c r="S589" s="167"/>
      <c r="T589" s="167"/>
      <c r="U589" s="167"/>
      <c r="V589" s="167"/>
      <c r="W589" s="167"/>
    </row>
    <row r="590" spans="1:23" ht="18" x14ac:dyDescent="0.2">
      <c r="A590" s="167"/>
      <c r="D590" s="167"/>
      <c r="E590" s="167"/>
      <c r="F590" s="167"/>
      <c r="G590" s="167"/>
      <c r="H590" s="167"/>
      <c r="I590" s="167"/>
      <c r="J590" s="167"/>
      <c r="L590" s="167"/>
      <c r="O590" s="167"/>
      <c r="P590" s="167"/>
      <c r="Q590" s="167"/>
      <c r="R590" s="167"/>
      <c r="S590" s="167"/>
      <c r="T590" s="167"/>
      <c r="U590" s="167"/>
      <c r="V590" s="167"/>
      <c r="W590" s="167"/>
    </row>
    <row r="591" spans="1:23" ht="18" x14ac:dyDescent="0.2">
      <c r="A591" s="196"/>
      <c r="M591" s="254"/>
      <c r="N591" s="254"/>
      <c r="O591" s="167"/>
      <c r="P591" s="167"/>
      <c r="Q591" s="167"/>
      <c r="R591" s="167"/>
      <c r="S591" s="167"/>
      <c r="T591" s="167"/>
      <c r="U591" s="167"/>
      <c r="V591" s="167"/>
      <c r="W591" s="167"/>
    </row>
    <row r="592" spans="1:23" ht="18.75" x14ac:dyDescent="0.2">
      <c r="A592" s="196"/>
      <c r="B592" s="167"/>
      <c r="D592" s="269"/>
      <c r="E592" s="269"/>
      <c r="F592" s="269"/>
      <c r="G592" s="269"/>
      <c r="H592" s="269"/>
      <c r="I592" s="269"/>
      <c r="J592" s="269"/>
      <c r="M592" s="254"/>
      <c r="N592" s="254"/>
      <c r="O592" s="167"/>
      <c r="P592" s="167"/>
      <c r="Q592" s="167"/>
      <c r="R592" s="167"/>
      <c r="S592" s="167"/>
      <c r="T592" s="167"/>
      <c r="U592" s="167"/>
      <c r="V592" s="167"/>
      <c r="W592" s="167"/>
    </row>
    <row r="593" spans="1:23" ht="18.75" x14ac:dyDescent="0.2">
      <c r="A593" s="196"/>
      <c r="B593" s="196"/>
      <c r="C593" s="270"/>
      <c r="D593" s="271"/>
      <c r="E593" s="271"/>
      <c r="F593" s="271"/>
      <c r="G593" s="271"/>
      <c r="H593" s="271"/>
      <c r="I593" s="271"/>
      <c r="J593" s="271"/>
      <c r="K593" s="196"/>
      <c r="L593" s="254"/>
      <c r="M593" s="254"/>
      <c r="N593" s="254"/>
      <c r="O593" s="167"/>
      <c r="P593" s="167"/>
      <c r="Q593" s="167"/>
      <c r="R593" s="167"/>
      <c r="S593" s="167"/>
      <c r="T593" s="167"/>
      <c r="U593" s="167"/>
      <c r="V593" s="167"/>
      <c r="W593" s="167"/>
    </row>
    <row r="594" spans="1:23" ht="18" x14ac:dyDescent="0.2">
      <c r="A594" s="196"/>
      <c r="B594" s="196"/>
      <c r="C594" s="254"/>
      <c r="D594" s="196"/>
      <c r="E594" s="254"/>
      <c r="F594" s="254"/>
      <c r="G594" s="254"/>
      <c r="H594" s="254"/>
      <c r="I594" s="254"/>
      <c r="J594" s="254"/>
      <c r="K594" s="254"/>
      <c r="L594" s="254"/>
      <c r="M594" s="254"/>
      <c r="N594" s="254"/>
      <c r="O594" s="167"/>
      <c r="P594" s="167"/>
      <c r="Q594" s="167"/>
      <c r="R594" s="167"/>
      <c r="S594" s="167"/>
      <c r="T594" s="167"/>
      <c r="U594" s="167"/>
      <c r="V594" s="167"/>
      <c r="W594" s="167"/>
    </row>
    <row r="595" spans="1:23" ht="18" x14ac:dyDescent="0.2">
      <c r="A595" s="196"/>
      <c r="B595" s="196"/>
      <c r="C595" s="254"/>
      <c r="D595" s="254"/>
      <c r="E595" s="254"/>
      <c r="F595" s="254"/>
      <c r="G595" s="254"/>
      <c r="H595" s="254"/>
      <c r="I595" s="254"/>
      <c r="J595" s="254"/>
      <c r="K595" s="254"/>
      <c r="L595" s="254"/>
      <c r="M595" s="254"/>
      <c r="N595" s="254"/>
      <c r="O595" s="167"/>
      <c r="P595" s="167"/>
      <c r="Q595" s="167"/>
      <c r="R595" s="167"/>
      <c r="S595" s="167"/>
      <c r="T595" s="167"/>
      <c r="U595" s="167"/>
      <c r="V595" s="167"/>
      <c r="W595" s="167"/>
    </row>
    <row r="596" spans="1:23" ht="18" x14ac:dyDescent="0.2">
      <c r="A596" s="196"/>
      <c r="B596" s="196"/>
      <c r="C596" s="196"/>
      <c r="D596" s="196"/>
      <c r="E596" s="196"/>
      <c r="F596" s="196"/>
      <c r="G596" s="196"/>
      <c r="H596" s="196"/>
      <c r="I596" s="254"/>
      <c r="J596" s="254"/>
      <c r="K596" s="196"/>
      <c r="L596" s="196"/>
      <c r="M596" s="254"/>
      <c r="N596" s="254"/>
      <c r="O596" s="167"/>
      <c r="P596" s="167"/>
      <c r="Q596" s="167"/>
      <c r="R596" s="167"/>
      <c r="S596" s="167"/>
      <c r="T596" s="167"/>
      <c r="U596" s="167"/>
      <c r="V596" s="167"/>
      <c r="W596" s="167"/>
    </row>
    <row r="597" spans="1:23" ht="18" x14ac:dyDescent="0.2">
      <c r="A597" s="196"/>
      <c r="B597" s="196"/>
      <c r="C597" s="261"/>
      <c r="D597" s="170"/>
      <c r="E597" s="170"/>
      <c r="F597" s="170"/>
      <c r="G597" s="170"/>
      <c r="H597" s="170"/>
      <c r="I597" s="254"/>
      <c r="J597" s="254"/>
      <c r="K597" s="254"/>
      <c r="L597" s="196"/>
      <c r="M597" s="196"/>
      <c r="N597" s="254"/>
      <c r="O597" s="167"/>
      <c r="P597" s="167"/>
      <c r="Q597" s="167"/>
      <c r="R597" s="167"/>
      <c r="S597" s="167"/>
      <c r="T597" s="167"/>
      <c r="U597" s="167"/>
      <c r="V597" s="167"/>
      <c r="W597" s="167"/>
    </row>
    <row r="598" spans="1:23" ht="18" x14ac:dyDescent="0.2">
      <c r="A598" s="196"/>
      <c r="B598" s="196"/>
      <c r="C598" s="196"/>
      <c r="D598" s="196"/>
      <c r="E598" s="196"/>
      <c r="F598" s="196"/>
      <c r="G598" s="196"/>
      <c r="H598" s="196"/>
      <c r="I598" s="254"/>
      <c r="J598" s="254"/>
      <c r="K598" s="254"/>
      <c r="L598" s="196"/>
      <c r="M598" s="196"/>
      <c r="N598" s="254"/>
      <c r="O598" s="167"/>
      <c r="P598" s="167"/>
      <c r="Q598" s="167"/>
      <c r="R598" s="167"/>
      <c r="S598" s="167"/>
      <c r="T598" s="167"/>
      <c r="U598" s="167"/>
      <c r="V598" s="167"/>
      <c r="W598" s="167"/>
    </row>
    <row r="599" spans="1:23" ht="18" x14ac:dyDescent="0.2">
      <c r="A599" s="196"/>
      <c r="B599" s="196"/>
      <c r="C599" s="196"/>
      <c r="D599" s="196"/>
      <c r="E599" s="196"/>
      <c r="F599" s="196"/>
      <c r="G599" s="196"/>
      <c r="H599" s="196"/>
      <c r="I599" s="254"/>
      <c r="J599" s="254"/>
      <c r="K599" s="196"/>
      <c r="L599" s="254"/>
      <c r="M599" s="196"/>
      <c r="N599" s="254"/>
      <c r="O599" s="167"/>
      <c r="P599" s="167"/>
      <c r="Q599" s="167"/>
      <c r="R599" s="167"/>
      <c r="S599" s="167"/>
      <c r="T599" s="167"/>
      <c r="U599" s="167"/>
      <c r="V599" s="167"/>
      <c r="W599" s="167"/>
    </row>
    <row r="600" spans="1:23" ht="18" x14ac:dyDescent="0.2">
      <c r="A600" s="196"/>
      <c r="B600" s="196"/>
      <c r="C600" s="196"/>
      <c r="D600" s="196"/>
      <c r="E600" s="196"/>
      <c r="F600" s="170"/>
      <c r="G600" s="196"/>
      <c r="H600" s="170"/>
      <c r="I600" s="254"/>
      <c r="J600" s="254"/>
      <c r="K600" s="196"/>
      <c r="L600" s="254"/>
      <c r="M600" s="196"/>
      <c r="N600" s="254"/>
      <c r="O600" s="167"/>
      <c r="P600" s="167"/>
      <c r="Q600" s="167"/>
      <c r="R600" s="167"/>
      <c r="S600" s="167"/>
      <c r="T600" s="167"/>
      <c r="U600" s="167"/>
      <c r="V600" s="167"/>
      <c r="W600" s="167"/>
    </row>
    <row r="601" spans="1:23" ht="18" x14ac:dyDescent="0.2">
      <c r="A601" s="196"/>
      <c r="B601" s="196"/>
      <c r="C601" s="196"/>
      <c r="D601" s="196"/>
      <c r="E601" s="196"/>
      <c r="F601" s="196"/>
      <c r="G601" s="196"/>
      <c r="H601" s="196"/>
      <c r="I601" s="254"/>
      <c r="J601" s="254"/>
      <c r="K601" s="170"/>
      <c r="L601" s="254"/>
      <c r="M601" s="170"/>
      <c r="N601" s="254"/>
      <c r="O601" s="167"/>
      <c r="P601" s="167"/>
      <c r="Q601" s="167"/>
      <c r="R601" s="167"/>
      <c r="S601" s="167"/>
      <c r="T601" s="167"/>
      <c r="U601" s="167"/>
      <c r="V601" s="167"/>
      <c r="W601" s="167"/>
    </row>
    <row r="602" spans="1:23" ht="18" x14ac:dyDescent="0.2">
      <c r="A602" s="196"/>
      <c r="B602" s="196"/>
      <c r="C602" s="196"/>
      <c r="D602" s="196"/>
      <c r="E602" s="196"/>
      <c r="F602" s="196"/>
      <c r="G602" s="196"/>
      <c r="H602" s="196"/>
      <c r="I602" s="254"/>
      <c r="J602" s="254"/>
      <c r="K602" s="196"/>
      <c r="L602" s="254"/>
      <c r="M602" s="196"/>
      <c r="N602" s="254"/>
      <c r="O602" s="167"/>
      <c r="P602" s="167"/>
      <c r="Q602" s="167"/>
      <c r="R602" s="167"/>
      <c r="S602" s="167"/>
      <c r="T602" s="167"/>
      <c r="U602" s="167"/>
      <c r="V602" s="167"/>
      <c r="W602" s="167"/>
    </row>
    <row r="603" spans="1:23" ht="18.75" x14ac:dyDescent="0.2">
      <c r="A603" s="196"/>
      <c r="B603" s="196"/>
      <c r="C603" s="196"/>
      <c r="D603" s="196"/>
      <c r="E603" s="196"/>
      <c r="F603" s="196"/>
      <c r="G603" s="196"/>
      <c r="H603" s="196"/>
      <c r="I603" s="254"/>
      <c r="J603" s="254"/>
      <c r="K603" s="271"/>
      <c r="L603" s="254"/>
      <c r="M603" s="196"/>
      <c r="N603" s="254"/>
      <c r="O603" s="167"/>
      <c r="P603" s="167"/>
      <c r="Q603" s="167"/>
      <c r="R603" s="167"/>
      <c r="S603" s="167"/>
      <c r="T603" s="167"/>
      <c r="U603" s="167"/>
      <c r="V603" s="167"/>
      <c r="W603" s="167"/>
    </row>
    <row r="604" spans="1:23" ht="18.75" x14ac:dyDescent="0.2">
      <c r="A604" s="196"/>
      <c r="B604" s="196"/>
      <c r="C604" s="196"/>
      <c r="D604" s="196"/>
      <c r="E604" s="196"/>
      <c r="F604" s="196"/>
      <c r="G604" s="196"/>
      <c r="H604" s="196"/>
      <c r="I604" s="254"/>
      <c r="J604" s="254"/>
      <c r="K604" s="271"/>
      <c r="L604" s="254"/>
      <c r="M604" s="196"/>
      <c r="N604" s="254"/>
      <c r="O604" s="167"/>
      <c r="P604" s="167"/>
      <c r="Q604" s="167"/>
      <c r="R604" s="167"/>
      <c r="S604" s="167"/>
      <c r="T604" s="167"/>
      <c r="U604" s="167"/>
      <c r="V604" s="167"/>
      <c r="W604" s="167"/>
    </row>
    <row r="605" spans="1:23" ht="18.75" x14ac:dyDescent="0.2">
      <c r="A605" s="196"/>
      <c r="B605" s="196"/>
      <c r="C605" s="196"/>
      <c r="D605" s="196"/>
      <c r="E605" s="196"/>
      <c r="F605" s="196"/>
      <c r="G605" s="196"/>
      <c r="H605" s="196"/>
      <c r="I605" s="254"/>
      <c r="J605" s="254"/>
      <c r="K605" s="271"/>
      <c r="L605" s="254"/>
      <c r="M605" s="196"/>
      <c r="N605" s="254"/>
      <c r="O605" s="167"/>
      <c r="P605" s="167"/>
      <c r="Q605" s="167"/>
      <c r="R605" s="167"/>
      <c r="S605" s="167"/>
      <c r="T605" s="167"/>
      <c r="U605" s="167"/>
      <c r="V605" s="167"/>
      <c r="W605" s="167"/>
    </row>
    <row r="606" spans="1:23" ht="18" x14ac:dyDescent="0.2">
      <c r="A606" s="196"/>
      <c r="B606" s="196"/>
      <c r="C606" s="196"/>
      <c r="D606" s="196"/>
      <c r="E606" s="196"/>
      <c r="F606" s="196"/>
      <c r="G606" s="196"/>
      <c r="H606" s="196"/>
      <c r="I606" s="254"/>
      <c r="J606" s="254"/>
      <c r="K606" s="254"/>
      <c r="L606" s="254"/>
      <c r="M606" s="196"/>
      <c r="N606" s="254"/>
      <c r="O606" s="167"/>
      <c r="P606" s="167"/>
      <c r="Q606" s="167"/>
      <c r="R606" s="167"/>
      <c r="S606" s="167"/>
      <c r="T606" s="167"/>
      <c r="U606" s="167"/>
      <c r="V606" s="167"/>
      <c r="W606" s="167"/>
    </row>
    <row r="607" spans="1:23" ht="18" x14ac:dyDescent="0.2">
      <c r="A607" s="196"/>
      <c r="B607" s="196"/>
      <c r="C607" s="196"/>
      <c r="D607" s="196"/>
      <c r="E607" s="196"/>
      <c r="F607" s="196"/>
      <c r="G607" s="196"/>
      <c r="H607" s="196"/>
      <c r="I607" s="254"/>
      <c r="J607" s="254"/>
      <c r="K607" s="254"/>
      <c r="L607" s="254"/>
      <c r="M607" s="196"/>
      <c r="N607" s="254"/>
      <c r="O607" s="167"/>
      <c r="P607" s="167"/>
      <c r="Q607" s="167"/>
      <c r="R607" s="167"/>
      <c r="S607" s="167"/>
      <c r="T607" s="167"/>
      <c r="U607" s="167"/>
      <c r="V607" s="167"/>
      <c r="W607" s="167"/>
    </row>
    <row r="608" spans="1:23" ht="18" x14ac:dyDescent="0.2">
      <c r="A608" s="196"/>
      <c r="B608" s="196"/>
      <c r="C608" s="196"/>
      <c r="D608" s="196"/>
      <c r="E608" s="196"/>
      <c r="F608" s="196"/>
      <c r="G608" s="196"/>
      <c r="H608" s="196"/>
      <c r="I608" s="254"/>
      <c r="J608" s="254"/>
      <c r="K608" s="254"/>
      <c r="L608" s="254"/>
      <c r="M608" s="254"/>
      <c r="N608" s="254"/>
      <c r="O608" s="167"/>
      <c r="P608" s="167"/>
      <c r="Q608" s="167"/>
      <c r="R608" s="167"/>
      <c r="S608" s="167"/>
      <c r="T608" s="167"/>
      <c r="U608" s="167"/>
      <c r="V608" s="167"/>
      <c r="W608" s="167"/>
    </row>
    <row r="609" spans="1:23" ht="18" x14ac:dyDescent="0.2">
      <c r="A609" s="196"/>
      <c r="B609" s="196"/>
      <c r="C609" s="196"/>
      <c r="D609" s="196"/>
      <c r="E609" s="196"/>
      <c r="F609" s="196"/>
      <c r="G609" s="196"/>
      <c r="H609" s="196"/>
      <c r="I609" s="254"/>
      <c r="J609" s="254"/>
      <c r="K609" s="254"/>
      <c r="L609" s="254"/>
      <c r="M609" s="254"/>
      <c r="N609" s="254"/>
      <c r="O609" s="167"/>
      <c r="P609" s="167"/>
      <c r="Q609" s="167"/>
      <c r="R609" s="167"/>
      <c r="S609" s="167"/>
      <c r="T609" s="167"/>
      <c r="U609" s="167"/>
      <c r="V609" s="167"/>
      <c r="W609" s="167"/>
    </row>
    <row r="610" spans="1:23" ht="18" x14ac:dyDescent="0.2">
      <c r="A610" s="196"/>
      <c r="B610" s="196"/>
      <c r="C610" s="170"/>
      <c r="D610" s="196"/>
      <c r="E610" s="196"/>
      <c r="F610" s="170"/>
      <c r="G610" s="196"/>
      <c r="H610" s="170"/>
      <c r="I610" s="254"/>
      <c r="J610" s="254"/>
      <c r="K610" s="254"/>
      <c r="L610" s="254"/>
      <c r="M610" s="254"/>
      <c r="N610" s="254"/>
      <c r="O610" s="167"/>
      <c r="P610" s="167"/>
      <c r="Q610" s="167"/>
      <c r="R610" s="167"/>
      <c r="S610" s="167"/>
      <c r="T610" s="167"/>
      <c r="U610" s="167"/>
      <c r="V610" s="167"/>
      <c r="W610" s="167"/>
    </row>
    <row r="611" spans="1:23" ht="18" x14ac:dyDescent="0.2">
      <c r="A611" s="196"/>
      <c r="B611" s="196"/>
      <c r="C611" s="196"/>
      <c r="D611" s="196"/>
      <c r="E611" s="196"/>
      <c r="F611" s="196"/>
      <c r="G611" s="196"/>
      <c r="H611" s="196"/>
      <c r="I611" s="254"/>
      <c r="J611" s="254"/>
      <c r="K611" s="254"/>
      <c r="L611" s="254"/>
      <c r="M611" s="254"/>
      <c r="N611" s="254"/>
      <c r="O611" s="167"/>
      <c r="P611" s="167"/>
      <c r="Q611" s="167"/>
      <c r="R611" s="167"/>
      <c r="S611" s="167"/>
      <c r="T611" s="167"/>
      <c r="U611" s="167"/>
      <c r="V611" s="167"/>
      <c r="W611" s="167"/>
    </row>
    <row r="612" spans="1:23" ht="18" x14ac:dyDescent="0.2">
      <c r="A612" s="167"/>
      <c r="B612" s="196"/>
      <c r="C612" s="254"/>
      <c r="D612" s="254"/>
      <c r="E612" s="254"/>
      <c r="F612" s="254"/>
      <c r="G612" s="254"/>
      <c r="H612" s="254"/>
      <c r="I612" s="254"/>
      <c r="J612" s="254"/>
      <c r="K612" s="254"/>
      <c r="L612" s="254"/>
      <c r="O612" s="167"/>
      <c r="P612" s="167"/>
      <c r="Q612" s="167"/>
      <c r="R612" s="167"/>
      <c r="S612" s="167"/>
      <c r="T612" s="167"/>
      <c r="U612" s="167"/>
      <c r="V612" s="167"/>
      <c r="W612" s="167"/>
    </row>
    <row r="613" spans="1:23" ht="18" x14ac:dyDescent="0.2">
      <c r="A613" s="167"/>
      <c r="B613" s="196"/>
      <c r="C613" s="254"/>
      <c r="D613" s="254"/>
      <c r="E613" s="254"/>
      <c r="F613" s="254"/>
      <c r="G613" s="254"/>
      <c r="H613" s="254"/>
      <c r="I613" s="254"/>
      <c r="J613" s="254"/>
      <c r="K613" s="254"/>
      <c r="L613" s="254"/>
      <c r="M613" s="167"/>
      <c r="O613" s="167"/>
      <c r="P613" s="167"/>
      <c r="Q613" s="167"/>
      <c r="R613" s="167"/>
      <c r="S613" s="167"/>
      <c r="T613" s="167"/>
      <c r="U613" s="167"/>
      <c r="V613" s="167"/>
      <c r="W613" s="167"/>
    </row>
    <row r="614" spans="1:23" ht="18" x14ac:dyDescent="0.2">
      <c r="A614" s="167"/>
      <c r="B614" s="167"/>
      <c r="M614" s="167"/>
      <c r="O614" s="167"/>
      <c r="P614" s="167"/>
      <c r="Q614" s="167"/>
      <c r="R614" s="167"/>
      <c r="S614" s="167"/>
      <c r="T614" s="167"/>
      <c r="U614" s="167"/>
      <c r="V614" s="167"/>
      <c r="W614" s="167"/>
    </row>
    <row r="615" spans="1:23" ht="18" x14ac:dyDescent="0.2">
      <c r="A615" s="167"/>
      <c r="B615" s="167"/>
      <c r="C615" s="171"/>
      <c r="M615" s="167"/>
      <c r="O615" s="167"/>
      <c r="P615" s="167"/>
      <c r="Q615" s="167"/>
      <c r="R615" s="167"/>
      <c r="S615" s="167"/>
      <c r="T615" s="167"/>
      <c r="U615" s="167"/>
      <c r="V615" s="167"/>
      <c r="W615" s="167"/>
    </row>
    <row r="616" spans="1:23" ht="18" x14ac:dyDescent="0.2">
      <c r="A616" s="167"/>
      <c r="B616" s="167"/>
      <c r="C616" s="171"/>
      <c r="O616" s="167"/>
      <c r="P616" s="167"/>
      <c r="Q616" s="167"/>
      <c r="R616" s="167"/>
      <c r="S616" s="167"/>
      <c r="T616" s="167"/>
      <c r="U616" s="167"/>
      <c r="V616" s="167"/>
      <c r="W616" s="167"/>
    </row>
    <row r="617" spans="1:23" ht="18" x14ac:dyDescent="0.2">
      <c r="A617" s="167"/>
      <c r="B617" s="167"/>
      <c r="C617" s="171"/>
      <c r="O617" s="167"/>
      <c r="P617" s="167"/>
      <c r="Q617" s="167"/>
      <c r="R617" s="167"/>
      <c r="S617" s="167"/>
      <c r="T617" s="167"/>
      <c r="U617" s="167"/>
      <c r="V617" s="167"/>
      <c r="W617" s="167"/>
    </row>
    <row r="618" spans="1:23" ht="18" x14ac:dyDescent="0.2">
      <c r="A618" s="167"/>
      <c r="B618" s="167"/>
      <c r="O618" s="167"/>
      <c r="P618" s="167"/>
      <c r="Q618" s="167"/>
      <c r="R618" s="167"/>
      <c r="S618" s="167"/>
      <c r="T618" s="167"/>
      <c r="U618" s="167"/>
      <c r="V618" s="167"/>
      <c r="W618" s="167"/>
    </row>
    <row r="619" spans="1:23" ht="18" x14ac:dyDescent="0.2">
      <c r="A619" s="167"/>
      <c r="B619" s="167"/>
      <c r="O619" s="167"/>
      <c r="P619" s="167"/>
      <c r="Q619" s="167"/>
      <c r="R619" s="167"/>
      <c r="S619" s="167"/>
      <c r="T619" s="167"/>
      <c r="U619" s="167"/>
      <c r="V619" s="167"/>
      <c r="W619" s="167"/>
    </row>
    <row r="620" spans="1:23" ht="18" x14ac:dyDescent="0.2">
      <c r="A620" s="167"/>
      <c r="B620" s="167"/>
      <c r="O620" s="167"/>
      <c r="P620" s="167"/>
      <c r="Q620" s="167"/>
      <c r="R620" s="167"/>
      <c r="S620" s="167"/>
      <c r="T620" s="167"/>
      <c r="U620" s="167"/>
      <c r="V620" s="167"/>
      <c r="W620" s="167"/>
    </row>
    <row r="621" spans="1:23" ht="18" x14ac:dyDescent="0.2">
      <c r="A621" s="167"/>
      <c r="M621" s="167"/>
      <c r="O621" s="167"/>
      <c r="P621" s="167"/>
      <c r="Q621" s="167"/>
      <c r="R621" s="167"/>
      <c r="S621" s="167"/>
      <c r="T621" s="167"/>
      <c r="U621" s="167"/>
      <c r="W621" s="167"/>
    </row>
    <row r="622" spans="1:23" ht="18" x14ac:dyDescent="0.2">
      <c r="A622" s="167"/>
      <c r="M622" s="167"/>
      <c r="O622" s="167"/>
      <c r="P622" s="167"/>
      <c r="Q622" s="167"/>
      <c r="R622" s="167"/>
      <c r="S622" s="167"/>
      <c r="T622" s="167"/>
      <c r="U622" s="167"/>
      <c r="W622" s="167"/>
    </row>
    <row r="623" spans="1:23" ht="18" x14ac:dyDescent="0.2">
      <c r="A623" s="167"/>
      <c r="O623" s="167"/>
      <c r="P623" s="167"/>
      <c r="Q623" s="167"/>
      <c r="R623" s="167"/>
      <c r="S623" s="167"/>
      <c r="T623" s="167"/>
      <c r="U623" s="167"/>
      <c r="W623" s="167"/>
    </row>
    <row r="624" spans="1:23" ht="18" x14ac:dyDescent="0.2">
      <c r="A624" s="167"/>
      <c r="B624" s="167"/>
      <c r="O624" s="167"/>
      <c r="P624" s="167"/>
      <c r="Q624" s="167"/>
      <c r="R624" s="167"/>
      <c r="S624" s="167"/>
      <c r="T624" s="167"/>
      <c r="U624" s="167"/>
      <c r="V624" s="167"/>
      <c r="W624" s="167"/>
    </row>
    <row r="625" spans="1:23" ht="18" x14ac:dyDescent="0.2">
      <c r="A625" s="167"/>
      <c r="B625" s="167"/>
      <c r="O625" s="167"/>
      <c r="P625" s="167"/>
      <c r="Q625" s="167"/>
      <c r="R625" s="167"/>
      <c r="S625" s="167"/>
      <c r="T625" s="167"/>
      <c r="U625" s="167"/>
      <c r="V625" s="167"/>
      <c r="W625" s="167"/>
    </row>
    <row r="626" spans="1:23" ht="18" x14ac:dyDescent="0.2">
      <c r="A626" s="167"/>
      <c r="B626" s="167"/>
      <c r="O626" s="167"/>
      <c r="P626" s="167"/>
      <c r="Q626" s="167"/>
      <c r="R626" s="167"/>
      <c r="S626" s="167"/>
      <c r="T626" s="167"/>
      <c r="U626" s="167"/>
      <c r="V626" s="167"/>
      <c r="W626" s="167"/>
    </row>
    <row r="627" spans="1:23" ht="18.75" x14ac:dyDescent="0.2">
      <c r="A627" s="167"/>
      <c r="B627" s="269"/>
      <c r="O627" s="167"/>
      <c r="P627" s="167"/>
      <c r="Q627" s="167"/>
      <c r="R627" s="167"/>
      <c r="S627" s="167"/>
      <c r="T627" s="167"/>
      <c r="U627" s="167"/>
      <c r="V627" s="167"/>
      <c r="W627" s="167"/>
    </row>
    <row r="628" spans="1:23" ht="18.75" x14ac:dyDescent="0.2">
      <c r="A628" s="167"/>
      <c r="B628" s="269"/>
      <c r="O628" s="167"/>
      <c r="P628" s="167"/>
      <c r="Q628" s="167"/>
      <c r="R628" s="167"/>
      <c r="S628" s="167"/>
      <c r="T628" s="167"/>
      <c r="U628" s="167"/>
      <c r="V628" s="167"/>
      <c r="W628" s="167"/>
    </row>
    <row r="629" spans="1:23" ht="18.75" x14ac:dyDescent="0.2">
      <c r="A629" s="167"/>
      <c r="B629" s="269"/>
      <c r="O629" s="167"/>
      <c r="P629" s="167"/>
      <c r="Q629" s="167"/>
      <c r="R629" s="167"/>
      <c r="S629" s="167"/>
      <c r="T629" s="167"/>
      <c r="U629" s="167"/>
      <c r="V629" s="167"/>
      <c r="W629" s="167"/>
    </row>
    <row r="630" spans="1:23" ht="18" x14ac:dyDescent="0.2">
      <c r="A630" s="167"/>
      <c r="O630" s="167"/>
      <c r="P630" s="167"/>
      <c r="Q630" s="167"/>
      <c r="R630" s="167"/>
      <c r="S630" s="167"/>
      <c r="T630" s="167"/>
      <c r="U630" s="167"/>
      <c r="V630" s="167"/>
      <c r="W630" s="167"/>
    </row>
    <row r="631" spans="1:23" ht="18" x14ac:dyDescent="0.2">
      <c r="A631" s="167"/>
      <c r="B631" s="167"/>
      <c r="O631" s="167"/>
      <c r="P631" s="167"/>
      <c r="Q631" s="167"/>
      <c r="R631" s="167"/>
      <c r="S631" s="167"/>
      <c r="T631" s="167"/>
      <c r="U631" s="167"/>
      <c r="V631" s="167"/>
      <c r="W631" s="167"/>
    </row>
    <row r="632" spans="1:23" ht="18" x14ac:dyDescent="0.2">
      <c r="A632" s="167"/>
      <c r="O632" s="167"/>
      <c r="P632" s="167"/>
      <c r="Q632" s="167"/>
      <c r="R632" s="167"/>
      <c r="S632" s="167"/>
      <c r="T632" s="167"/>
      <c r="U632" s="167"/>
      <c r="V632" s="167"/>
      <c r="W632" s="167"/>
    </row>
    <row r="633" spans="1:23" ht="18" x14ac:dyDescent="0.2">
      <c r="A633" s="167"/>
      <c r="O633" s="167"/>
      <c r="P633" s="167"/>
      <c r="Q633" s="167"/>
      <c r="R633" s="167"/>
      <c r="S633" s="167"/>
      <c r="T633" s="167"/>
      <c r="U633" s="167"/>
      <c r="V633" s="167"/>
      <c r="W633" s="167"/>
    </row>
    <row r="634" spans="1:23" ht="18" x14ac:dyDescent="0.2">
      <c r="A634" s="167"/>
      <c r="O634" s="167"/>
      <c r="P634" s="167"/>
      <c r="Q634" s="167"/>
      <c r="R634" s="167"/>
      <c r="S634" s="167"/>
      <c r="T634" s="167"/>
      <c r="U634" s="167"/>
      <c r="V634" s="167"/>
      <c r="W634" s="167"/>
    </row>
    <row r="635" spans="1:23" ht="18" x14ac:dyDescent="0.2">
      <c r="A635" s="167"/>
      <c r="O635" s="167"/>
      <c r="P635" s="167"/>
      <c r="Q635" s="167"/>
      <c r="R635" s="167"/>
      <c r="S635" s="167"/>
      <c r="T635" s="167"/>
      <c r="U635" s="167"/>
      <c r="V635" s="167"/>
      <c r="W635" s="167"/>
    </row>
    <row r="636" spans="1:23" ht="18" x14ac:dyDescent="0.2">
      <c r="A636" s="167"/>
      <c r="O636" s="167"/>
      <c r="P636" s="167"/>
      <c r="Q636" s="167"/>
      <c r="R636" s="167"/>
      <c r="S636" s="167"/>
      <c r="T636" s="167"/>
      <c r="U636" s="167"/>
      <c r="V636" s="167"/>
      <c r="W636" s="167"/>
    </row>
    <row r="637" spans="1:23" ht="18" x14ac:dyDescent="0.2">
      <c r="A637" s="167"/>
      <c r="O637" s="167"/>
      <c r="P637" s="167"/>
      <c r="Q637" s="167"/>
      <c r="R637" s="167"/>
      <c r="S637" s="167"/>
      <c r="T637" s="167"/>
      <c r="U637" s="167"/>
      <c r="V637" s="167"/>
      <c r="W637" s="167"/>
    </row>
    <row r="638" spans="1:23" ht="18" x14ac:dyDescent="0.2">
      <c r="A638" s="167"/>
      <c r="O638" s="167"/>
      <c r="P638" s="167"/>
      <c r="Q638" s="167"/>
      <c r="R638" s="167"/>
      <c r="S638" s="167"/>
      <c r="T638" s="167"/>
      <c r="U638" s="167"/>
      <c r="V638" s="167"/>
      <c r="W638" s="167"/>
    </row>
    <row r="639" spans="1:23" ht="18" x14ac:dyDescent="0.2">
      <c r="A639" s="167"/>
      <c r="O639" s="167"/>
      <c r="P639" s="167"/>
      <c r="Q639" s="167"/>
      <c r="R639" s="167"/>
      <c r="S639" s="167"/>
      <c r="T639" s="167"/>
      <c r="U639" s="167"/>
      <c r="V639" s="167"/>
      <c r="W639" s="167"/>
    </row>
    <row r="640" spans="1:23" ht="18" x14ac:dyDescent="0.2">
      <c r="A640" s="167"/>
      <c r="O640" s="167"/>
      <c r="P640" s="167"/>
      <c r="Q640" s="167"/>
      <c r="R640" s="167"/>
      <c r="S640" s="167"/>
      <c r="T640" s="167"/>
      <c r="U640" s="167"/>
      <c r="V640" s="167"/>
      <c r="W640" s="167"/>
    </row>
    <row r="641" spans="1:23" ht="18" x14ac:dyDescent="0.2">
      <c r="A641" s="167"/>
      <c r="O641" s="167"/>
      <c r="P641" s="167"/>
      <c r="Q641" s="167"/>
      <c r="R641" s="167"/>
      <c r="S641" s="167"/>
      <c r="T641" s="167"/>
      <c r="U641" s="167"/>
      <c r="V641" s="167"/>
      <c r="W641" s="167"/>
    </row>
    <row r="642" spans="1:23" ht="18" x14ac:dyDescent="0.2">
      <c r="A642" s="167"/>
      <c r="O642" s="167"/>
      <c r="P642" s="167"/>
      <c r="Q642" s="167"/>
      <c r="R642" s="167"/>
      <c r="S642" s="167"/>
      <c r="T642" s="167"/>
      <c r="U642" s="167"/>
      <c r="V642" s="167"/>
      <c r="W642" s="167"/>
    </row>
    <row r="643" spans="1:23" ht="18" x14ac:dyDescent="0.2">
      <c r="A643" s="167"/>
      <c r="O643" s="167"/>
      <c r="P643" s="167"/>
      <c r="Q643" s="167"/>
      <c r="R643" s="167"/>
      <c r="S643" s="167"/>
      <c r="T643" s="167"/>
      <c r="U643" s="167"/>
      <c r="V643" s="167"/>
      <c r="W643" s="167"/>
    </row>
    <row r="644" spans="1:23" ht="18" x14ac:dyDescent="0.2">
      <c r="A644" s="167"/>
      <c r="O644" s="167"/>
      <c r="P644" s="167"/>
      <c r="Q644" s="167"/>
      <c r="R644" s="167"/>
      <c r="S644" s="167"/>
      <c r="T644" s="167"/>
      <c r="U644" s="167"/>
      <c r="V644" s="167"/>
      <c r="W644" s="167"/>
    </row>
    <row r="645" spans="1:23" ht="18" x14ac:dyDescent="0.2">
      <c r="A645" s="167"/>
      <c r="O645" s="167"/>
      <c r="P645" s="167"/>
      <c r="Q645" s="167"/>
      <c r="R645" s="167"/>
      <c r="S645" s="167"/>
      <c r="T645" s="167"/>
      <c r="U645" s="167"/>
      <c r="V645" s="167"/>
      <c r="W645" s="167"/>
    </row>
    <row r="646" spans="1:23" ht="18" x14ac:dyDescent="0.2">
      <c r="A646" s="167"/>
      <c r="O646" s="167"/>
      <c r="P646" s="167"/>
      <c r="Q646" s="167"/>
      <c r="R646" s="167"/>
      <c r="S646" s="167"/>
      <c r="T646" s="167"/>
      <c r="U646" s="167"/>
      <c r="V646" s="167"/>
      <c r="W646" s="167"/>
    </row>
    <row r="647" spans="1:23" ht="18" x14ac:dyDescent="0.2">
      <c r="A647" s="167"/>
      <c r="O647" s="167"/>
      <c r="P647" s="167"/>
      <c r="Q647" s="167"/>
      <c r="R647" s="167"/>
      <c r="S647" s="167"/>
      <c r="T647" s="167"/>
      <c r="U647" s="167"/>
      <c r="V647" s="167"/>
      <c r="W647" s="167"/>
    </row>
    <row r="648" spans="1:23" ht="18" x14ac:dyDescent="0.2">
      <c r="A648" s="167"/>
      <c r="O648" s="167"/>
      <c r="P648" s="167"/>
      <c r="Q648" s="167"/>
      <c r="R648" s="167"/>
      <c r="S648" s="167"/>
      <c r="T648" s="167"/>
      <c r="U648" s="167"/>
      <c r="V648" s="167"/>
      <c r="W648" s="167"/>
    </row>
    <row r="649" spans="1:23" ht="18" x14ac:dyDescent="0.2">
      <c r="A649" s="167"/>
      <c r="O649" s="167"/>
      <c r="P649" s="167"/>
      <c r="Q649" s="167"/>
      <c r="R649" s="167"/>
      <c r="S649" s="167"/>
      <c r="T649" s="167"/>
      <c r="U649" s="167"/>
      <c r="V649" s="167"/>
      <c r="W649" s="167"/>
    </row>
    <row r="650" spans="1:23" ht="18" x14ac:dyDescent="0.2">
      <c r="A650" s="167"/>
      <c r="O650" s="167"/>
      <c r="P650" s="167"/>
      <c r="Q650" s="167"/>
      <c r="R650" s="167"/>
      <c r="S650" s="167"/>
      <c r="T650" s="167"/>
      <c r="U650" s="167"/>
      <c r="V650" s="167"/>
      <c r="W650" s="167"/>
    </row>
    <row r="651" spans="1:23" ht="18" x14ac:dyDescent="0.2">
      <c r="A651" s="167"/>
      <c r="O651" s="167"/>
      <c r="P651" s="167"/>
      <c r="Q651" s="167"/>
      <c r="R651" s="167"/>
      <c r="S651" s="167"/>
      <c r="T651" s="167"/>
      <c r="U651" s="167"/>
      <c r="V651" s="167"/>
      <c r="W651" s="167"/>
    </row>
    <row r="652" spans="1:23" ht="18" x14ac:dyDescent="0.2">
      <c r="A652" s="167"/>
      <c r="O652" s="167"/>
      <c r="P652" s="167"/>
      <c r="Q652" s="167"/>
      <c r="R652" s="167"/>
      <c r="S652" s="167"/>
      <c r="T652" s="167"/>
      <c r="U652" s="167"/>
      <c r="V652" s="167"/>
      <c r="W652" s="167"/>
    </row>
    <row r="653" spans="1:23" ht="18" x14ac:dyDescent="0.2">
      <c r="A653" s="167"/>
      <c r="O653" s="167"/>
      <c r="P653" s="167"/>
      <c r="Q653" s="167"/>
      <c r="R653" s="167"/>
      <c r="S653" s="167"/>
      <c r="T653" s="167"/>
      <c r="U653" s="167"/>
      <c r="V653" s="167"/>
      <c r="W653" s="167"/>
    </row>
    <row r="654" spans="1:23" ht="18" x14ac:dyDescent="0.2">
      <c r="A654" s="167"/>
      <c r="O654" s="167"/>
      <c r="P654" s="167"/>
      <c r="Q654" s="167"/>
      <c r="R654" s="167"/>
      <c r="S654" s="167"/>
      <c r="T654" s="167"/>
      <c r="U654" s="167"/>
      <c r="V654" s="167"/>
      <c r="W654" s="167"/>
    </row>
    <row r="655" spans="1:23" ht="18" x14ac:dyDescent="0.2">
      <c r="A655" s="167"/>
      <c r="O655" s="167"/>
      <c r="P655" s="167"/>
      <c r="Q655" s="167"/>
      <c r="R655" s="167"/>
      <c r="S655" s="167"/>
      <c r="T655" s="167"/>
      <c r="U655" s="167"/>
      <c r="V655" s="167"/>
      <c r="W655" s="167"/>
    </row>
    <row r="656" spans="1:23" ht="18" x14ac:dyDescent="0.2">
      <c r="A656" s="167"/>
      <c r="O656" s="167"/>
      <c r="P656" s="167"/>
      <c r="Q656" s="167"/>
      <c r="R656" s="167"/>
      <c r="S656" s="167"/>
      <c r="T656" s="167"/>
      <c r="U656" s="167"/>
      <c r="V656" s="167"/>
      <c r="W656" s="167"/>
    </row>
    <row r="657" spans="1:23" ht="18" x14ac:dyDescent="0.2">
      <c r="A657" s="167"/>
      <c r="O657" s="167"/>
      <c r="P657" s="167"/>
      <c r="Q657" s="167"/>
      <c r="R657" s="167"/>
      <c r="S657" s="167"/>
      <c r="T657" s="167"/>
      <c r="U657" s="167"/>
      <c r="V657" s="167"/>
      <c r="W657" s="167"/>
    </row>
    <row r="658" spans="1:23" ht="18" x14ac:dyDescent="0.2">
      <c r="A658" s="167"/>
      <c r="O658" s="167"/>
      <c r="P658" s="167"/>
      <c r="Q658" s="167"/>
      <c r="R658" s="167"/>
      <c r="S658" s="167"/>
      <c r="T658" s="167"/>
      <c r="U658" s="167"/>
      <c r="V658" s="167"/>
      <c r="W658" s="167"/>
    </row>
    <row r="659" spans="1:23" ht="18" x14ac:dyDescent="0.2">
      <c r="A659" s="167"/>
      <c r="O659" s="167"/>
      <c r="P659" s="167"/>
      <c r="Q659" s="167"/>
      <c r="R659" s="167"/>
      <c r="S659" s="167"/>
      <c r="T659" s="167"/>
      <c r="U659" s="167"/>
      <c r="V659" s="167"/>
      <c r="W659" s="167"/>
    </row>
    <row r="660" spans="1:23" ht="18" x14ac:dyDescent="0.2">
      <c r="A660" s="167"/>
      <c r="O660" s="167"/>
      <c r="P660" s="167"/>
      <c r="Q660" s="167"/>
      <c r="R660" s="167"/>
      <c r="S660" s="167"/>
      <c r="T660" s="167"/>
      <c r="U660" s="167"/>
      <c r="V660" s="167"/>
      <c r="W660" s="167"/>
    </row>
    <row r="661" spans="1:23" ht="18" x14ac:dyDescent="0.2">
      <c r="A661" s="167"/>
      <c r="O661" s="167"/>
      <c r="P661" s="167"/>
      <c r="Q661" s="167"/>
      <c r="R661" s="167"/>
      <c r="S661" s="167"/>
      <c r="T661" s="167"/>
      <c r="U661" s="167"/>
      <c r="V661" s="167"/>
      <c r="W661" s="167"/>
    </row>
    <row r="662" spans="1:23" ht="18" x14ac:dyDescent="0.2">
      <c r="A662" s="167"/>
      <c r="O662" s="167"/>
      <c r="P662" s="167"/>
      <c r="Q662" s="167"/>
      <c r="R662" s="167"/>
      <c r="S662" s="167"/>
      <c r="T662" s="167"/>
      <c r="U662" s="167"/>
      <c r="V662" s="167"/>
      <c r="W662" s="167"/>
    </row>
    <row r="663" spans="1:23" ht="18" x14ac:dyDescent="0.2">
      <c r="A663" s="167"/>
      <c r="O663" s="167"/>
      <c r="P663" s="167"/>
      <c r="Q663" s="167"/>
      <c r="R663" s="167"/>
      <c r="S663" s="167"/>
      <c r="T663" s="167"/>
      <c r="U663" s="167"/>
      <c r="V663" s="167"/>
      <c r="W663" s="167"/>
    </row>
    <row r="664" spans="1:23" ht="18" x14ac:dyDescent="0.2">
      <c r="A664" s="167"/>
      <c r="O664" s="167"/>
      <c r="P664" s="167"/>
      <c r="Q664" s="167"/>
      <c r="R664" s="167"/>
      <c r="S664" s="167"/>
      <c r="T664" s="167"/>
      <c r="U664" s="167"/>
      <c r="V664" s="167"/>
      <c r="W664" s="167"/>
    </row>
    <row r="665" spans="1:23" ht="18" x14ac:dyDescent="0.2">
      <c r="A665" s="167"/>
      <c r="O665" s="167"/>
      <c r="P665" s="167"/>
      <c r="Q665" s="167"/>
      <c r="R665" s="167"/>
      <c r="S665" s="167"/>
      <c r="T665" s="167"/>
      <c r="U665" s="167"/>
      <c r="V665" s="167"/>
      <c r="W665" s="167"/>
    </row>
    <row r="666" spans="1:23" ht="18" x14ac:dyDescent="0.2">
      <c r="A666" s="167"/>
      <c r="O666" s="167"/>
      <c r="P666" s="167"/>
      <c r="Q666" s="167"/>
      <c r="R666" s="167"/>
      <c r="S666" s="167"/>
      <c r="T666" s="167"/>
      <c r="U666" s="167"/>
      <c r="V666" s="167"/>
      <c r="W666" s="167"/>
    </row>
    <row r="667" spans="1:23" ht="18" x14ac:dyDescent="0.2">
      <c r="A667" s="167"/>
      <c r="O667" s="167"/>
      <c r="P667" s="167"/>
      <c r="Q667" s="167"/>
      <c r="R667" s="167"/>
      <c r="S667" s="167"/>
      <c r="T667" s="167"/>
      <c r="U667" s="167"/>
      <c r="V667" s="167"/>
      <c r="W667" s="167"/>
    </row>
    <row r="668" spans="1:23" ht="18" x14ac:dyDescent="0.2">
      <c r="A668" s="167"/>
      <c r="O668" s="167"/>
      <c r="P668" s="167"/>
      <c r="Q668" s="167"/>
      <c r="R668" s="167"/>
      <c r="S668" s="167"/>
      <c r="T668" s="167"/>
      <c r="U668" s="167"/>
      <c r="V668" s="167"/>
      <c r="W668" s="167"/>
    </row>
    <row r="669" spans="1:23" ht="18" x14ac:dyDescent="0.2">
      <c r="A669" s="167"/>
      <c r="O669" s="167"/>
      <c r="P669" s="167"/>
      <c r="Q669" s="167"/>
      <c r="R669" s="167"/>
      <c r="S669" s="167"/>
      <c r="T669" s="167"/>
      <c r="U669" s="167"/>
      <c r="V669" s="167"/>
      <c r="W669" s="167"/>
    </row>
    <row r="670" spans="1:23" ht="18" x14ac:dyDescent="0.2">
      <c r="A670" s="167"/>
      <c r="O670" s="167"/>
      <c r="P670" s="167"/>
      <c r="Q670" s="167"/>
      <c r="R670" s="167"/>
      <c r="S670" s="167"/>
      <c r="T670" s="167"/>
      <c r="U670" s="167"/>
      <c r="V670" s="167"/>
      <c r="W670" s="167"/>
    </row>
    <row r="671" spans="1:23" ht="18" x14ac:dyDescent="0.2">
      <c r="A671" s="167"/>
      <c r="M671" s="167"/>
      <c r="O671" s="167"/>
      <c r="P671" s="167"/>
      <c r="Q671" s="167"/>
      <c r="R671" s="167"/>
      <c r="S671" s="167"/>
      <c r="T671" s="167"/>
      <c r="U671" s="167"/>
      <c r="V671" s="167"/>
      <c r="W671" s="167"/>
    </row>
    <row r="677" spans="15:23" ht="18" x14ac:dyDescent="0.2">
      <c r="O677" s="167"/>
      <c r="P677" s="167"/>
      <c r="Q677" s="167"/>
      <c r="R677" s="167"/>
      <c r="S677" s="167"/>
      <c r="T677" s="167"/>
      <c r="U677" s="167"/>
      <c r="V677" s="167"/>
      <c r="W677" s="167"/>
    </row>
    <row r="678" spans="15:23" ht="18" x14ac:dyDescent="0.2">
      <c r="O678" s="167"/>
      <c r="P678" s="167"/>
      <c r="Q678" s="167"/>
      <c r="R678" s="167"/>
      <c r="S678" s="167"/>
      <c r="T678" s="167"/>
      <c r="U678" s="167"/>
      <c r="V678" s="167"/>
      <c r="W678" s="167"/>
    </row>
    <row r="679" spans="15:23" ht="18" x14ac:dyDescent="0.2">
      <c r="O679" s="167"/>
      <c r="P679" s="167"/>
      <c r="Q679" s="167"/>
      <c r="R679" s="167"/>
      <c r="S679" s="167"/>
      <c r="T679" s="167"/>
      <c r="U679" s="167"/>
      <c r="V679" s="167"/>
      <c r="W679" s="167"/>
    </row>
  </sheetData>
  <sheetProtection sheet="1" objects="1" scenarios="1"/>
  <dataConsolidate/>
  <mergeCells count="149">
    <mergeCell ref="B353:H353"/>
    <mergeCell ref="B354:H354"/>
    <mergeCell ref="A348:H348"/>
    <mergeCell ref="C370:H370"/>
    <mergeCell ref="B377:B378"/>
    <mergeCell ref="B46:B47"/>
    <mergeCell ref="B48:B54"/>
    <mergeCell ref="J10:L10"/>
    <mergeCell ref="J12:L12"/>
    <mergeCell ref="J14:L14"/>
    <mergeCell ref="J16:L16"/>
    <mergeCell ref="J18:L18"/>
    <mergeCell ref="D10:F10"/>
    <mergeCell ref="A559:M559"/>
    <mergeCell ref="A334:A338"/>
    <mergeCell ref="F134:L134"/>
    <mergeCell ref="A349:A352"/>
    <mergeCell ref="B350:H350"/>
    <mergeCell ref="B351:H351"/>
    <mergeCell ref="B352:H352"/>
    <mergeCell ref="B386:I386"/>
    <mergeCell ref="C373:H373"/>
    <mergeCell ref="E71:F71"/>
    <mergeCell ref="A357:H357"/>
    <mergeCell ref="A353:A356"/>
    <mergeCell ref="A358:H358"/>
    <mergeCell ref="B349:H349"/>
    <mergeCell ref="C365:H365"/>
    <mergeCell ref="C374:H374"/>
    <mergeCell ref="B6:F6"/>
    <mergeCell ref="H6:L6"/>
    <mergeCell ref="A362:H362"/>
    <mergeCell ref="A194:M194"/>
    <mergeCell ref="B22:L22"/>
    <mergeCell ref="B212:L212"/>
    <mergeCell ref="B269:E269"/>
    <mergeCell ref="C278:D278"/>
    <mergeCell ref="D117:J117"/>
    <mergeCell ref="D140:J140"/>
    <mergeCell ref="D161:J161"/>
    <mergeCell ref="B256:L256"/>
    <mergeCell ref="D273:J273"/>
    <mergeCell ref="B27:L27"/>
    <mergeCell ref="B29:L29"/>
    <mergeCell ref="B31:L31"/>
    <mergeCell ref="B55:B56"/>
    <mergeCell ref="B57:B82"/>
    <mergeCell ref="D57:D58"/>
    <mergeCell ref="C105:D105"/>
    <mergeCell ref="D59:D61"/>
    <mergeCell ref="C99:J99"/>
    <mergeCell ref="C106:D106"/>
    <mergeCell ref="B42:B43"/>
    <mergeCell ref="C3:K3"/>
    <mergeCell ref="C44:F44"/>
    <mergeCell ref="C43:F43"/>
    <mergeCell ref="E112:E113"/>
    <mergeCell ref="F112:F113"/>
    <mergeCell ref="D101:J101"/>
    <mergeCell ref="D35:J35"/>
    <mergeCell ref="L74:L76"/>
    <mergeCell ref="K74:K76"/>
    <mergeCell ref="C109:D109"/>
    <mergeCell ref="K65:K67"/>
    <mergeCell ref="K77:K79"/>
    <mergeCell ref="L65:L67"/>
    <mergeCell ref="K68:K71"/>
    <mergeCell ref="L68:L70"/>
    <mergeCell ref="K72:K73"/>
    <mergeCell ref="D48:D49"/>
    <mergeCell ref="B25:L25"/>
    <mergeCell ref="H44:K44"/>
    <mergeCell ref="H43:K43"/>
    <mergeCell ref="C108:D108"/>
    <mergeCell ref="D8:F8"/>
    <mergeCell ref="B83:B98"/>
    <mergeCell ref="J8:L8"/>
    <mergeCell ref="C110:D110"/>
    <mergeCell ref="C111:D111"/>
    <mergeCell ref="K310:K311"/>
    <mergeCell ref="B387:I387"/>
    <mergeCell ref="C377:I378"/>
    <mergeCell ref="B366:B367"/>
    <mergeCell ref="A360:H360"/>
    <mergeCell ref="A361:H361"/>
    <mergeCell ref="A363:A389"/>
    <mergeCell ref="B379:I379"/>
    <mergeCell ref="B380:I380"/>
    <mergeCell ref="C369:H369"/>
    <mergeCell ref="C372:H372"/>
    <mergeCell ref="C363:H363"/>
    <mergeCell ref="C366:H366"/>
    <mergeCell ref="C367:H367"/>
    <mergeCell ref="B385:I385"/>
    <mergeCell ref="C280:D280"/>
    <mergeCell ref="C282:D282"/>
    <mergeCell ref="C284:D284"/>
    <mergeCell ref="D290:J290"/>
    <mergeCell ref="B388:I388"/>
    <mergeCell ref="B389:I389"/>
    <mergeCell ref="B381:I381"/>
    <mergeCell ref="E298:J298"/>
    <mergeCell ref="G299:H299"/>
    <mergeCell ref="I299:J299"/>
    <mergeCell ref="C343:H343"/>
    <mergeCell ref="B303:D303"/>
    <mergeCell ref="C589:L589"/>
    <mergeCell ref="C587:K587"/>
    <mergeCell ref="B439:L439"/>
    <mergeCell ref="D463:F463"/>
    <mergeCell ref="G536:G537"/>
    <mergeCell ref="I536:I537"/>
    <mergeCell ref="G458:M458"/>
    <mergeCell ref="B561:L561"/>
    <mergeCell ref="D467:J467"/>
    <mergeCell ref="D489:J489"/>
    <mergeCell ref="D524:F524"/>
    <mergeCell ref="D532:J532"/>
    <mergeCell ref="G435:L435"/>
    <mergeCell ref="D397:J397"/>
    <mergeCell ref="B382:I382"/>
    <mergeCell ref="B383:B384"/>
    <mergeCell ref="C383:I384"/>
    <mergeCell ref="B364:B365"/>
    <mergeCell ref="A359:H359"/>
    <mergeCell ref="C375:H375"/>
    <mergeCell ref="C368:H368"/>
    <mergeCell ref="B355:H355"/>
    <mergeCell ref="A327:A333"/>
    <mergeCell ref="A325:A326"/>
    <mergeCell ref="B356:H356"/>
    <mergeCell ref="B300:D300"/>
    <mergeCell ref="D189:F189"/>
    <mergeCell ref="F297:H297"/>
    <mergeCell ref="C318:D319"/>
    <mergeCell ref="A297:D297"/>
    <mergeCell ref="A346:D347"/>
    <mergeCell ref="E346:H347"/>
    <mergeCell ref="C294:H294"/>
    <mergeCell ref="D218:J218"/>
    <mergeCell ref="B232:L232"/>
    <mergeCell ref="B243:L243"/>
    <mergeCell ref="B245:L245"/>
    <mergeCell ref="B252:L252"/>
    <mergeCell ref="E299:F299"/>
    <mergeCell ref="A341:J341"/>
    <mergeCell ref="B318:B321"/>
    <mergeCell ref="A310:A323"/>
    <mergeCell ref="A300:A309"/>
  </mergeCells>
  <phoneticPr fontId="0" type="noConversion"/>
  <dataValidations xWindow="405" yWindow="386" count="9">
    <dataValidation allowBlank="1" showInputMessage="1" showErrorMessage="1" prompt="Saisir ici les autres retraitements influant sur la CAF" sqref="G500"/>
    <dataValidation type="list" allowBlank="1" showInputMessage="1" showErrorMessage="1" promptTitle="Choisir sur menu déroulant" prompt="Sélectionner le nombre de parts dans le menu déroulant" sqref="E134">
      <formula1>source_nombre_parts</formula1>
    </dataValidation>
    <dataValidation allowBlank="1" showInputMessage="1" showErrorMessage="1" prompt="Montant repris de la case CP de la 2035" sqref="E127:E128"/>
    <dataValidation allowBlank="1" showInputMessage="1" showErrorMessage="1" prompt="Saisir ici le montant net imposable de tous les autres revenus du foyer fiscal" sqref="E129:E130"/>
    <dataValidation allowBlank="1" showInputMessage="1" showErrorMessage="1" prompt="Il s'agit d'autres correctifs à caractère purement fiscal" sqref="G170"/>
    <dataValidation type="whole" operator="greaterThanOrEqual" allowBlank="1" showInputMessage="1" showErrorMessage="1" error="Vous devez saisir les montants sans le signe &quot;-&quot;. Veuillez réessayer" prompt="Saisir des montants positifs (sans le signe &quot;-&quot;)" sqref="G183 G185 G187">
      <formula1>0</formula1>
    </dataValidation>
    <dataValidation allowBlank="1" showInputMessage="1" showErrorMessage="1" prompt="Montant repris de la ligne 25 de la 2035" sqref="F263 B263"/>
    <dataValidation type="list" allowBlank="1" showInputMessage="1" showErrorMessage="1" prompt="Sélectionner une profession dans la liste déroulante en cliquant sur la flèche" sqref="D10">
      <formula1>Profession</formula1>
    </dataValidation>
    <dataValidation allowBlank="1" showInputMessage="1" showErrorMessage="1" prompt="Saisir le nom du client" sqref="D8"/>
  </dataValidations>
  <printOptions horizontalCentered="1"/>
  <pageMargins left="0.19685039370078741" right="0.19685039370078741" top="0.45" bottom="0.31496062992125984" header="0.2" footer="0.19685039370078741"/>
  <pageSetup paperSize="9" scale="52" fitToHeight="0" orientation="portrait" verticalDpi="360" r:id="rId1"/>
  <headerFooter alignWithMargins="0">
    <oddHeader>&amp;R&amp;G</oddHeader>
    <oddFooter>&amp;LEdité le : &amp;D&amp;RPage &amp;P de &amp;N</oddFooter>
  </headerFooter>
  <rowBreaks count="10" manualBreakCount="10">
    <brk id="33" max="12" man="1"/>
    <brk id="99" max="12" man="1"/>
    <brk id="159" max="12" man="1"/>
    <brk id="208" max="12" man="1"/>
    <brk id="286" max="12" man="1"/>
    <brk id="342" max="16383" man="1"/>
    <brk id="394" max="12" man="1"/>
    <brk id="465" max="12" man="1"/>
    <brk id="526" max="12" man="1"/>
    <brk id="559" max="12" man="1"/>
  </rowBreaks>
  <drawing r:id="rId2"/>
  <legacyDrawing r:id="rId3"/>
  <legacyDrawingHF r:id="rId4"/>
  <oleObjects>
    <mc:AlternateContent xmlns:mc="http://schemas.openxmlformats.org/markup-compatibility/2006">
      <mc:Choice Requires="x14">
        <oleObject progId="Paint.Picture" shapeId="1034" r:id="rId5">
          <objectPr defaultSize="0" r:id="rId6">
            <anchor moveWithCells="1">
              <from>
                <xdr:col>1</xdr:col>
                <xdr:colOff>0</xdr:colOff>
                <xdr:row>292</xdr:row>
                <xdr:rowOff>180975</xdr:rowOff>
              </from>
              <to>
                <xdr:col>1</xdr:col>
                <xdr:colOff>533400</xdr:colOff>
                <xdr:row>293</xdr:row>
                <xdr:rowOff>247650</xdr:rowOff>
              </to>
            </anchor>
          </objectPr>
        </oleObject>
      </mc:Choice>
      <mc:Fallback>
        <oleObject progId="Paint.Picture" shapeId="1034" r:id="rId5"/>
      </mc:Fallback>
    </mc:AlternateContent>
    <mc:AlternateContent xmlns:mc="http://schemas.openxmlformats.org/markup-compatibility/2006">
      <mc:Choice Requires="x14">
        <oleObject progId="Paint.Picture" shapeId="1035" r:id="rId7">
          <objectPr defaultSize="0" r:id="rId6">
            <anchor moveWithCells="1">
              <from>
                <xdr:col>0</xdr:col>
                <xdr:colOff>19050</xdr:colOff>
                <xdr:row>342</xdr:row>
                <xdr:rowOff>0</xdr:rowOff>
              </from>
              <to>
                <xdr:col>1</xdr:col>
                <xdr:colOff>85725</xdr:colOff>
                <xdr:row>343</xdr:row>
                <xdr:rowOff>28575</xdr:rowOff>
              </to>
            </anchor>
          </objectPr>
        </oleObject>
      </mc:Choice>
      <mc:Fallback>
        <oleObject progId="Paint.Picture" shapeId="1035" r:id="rId7"/>
      </mc:Fallback>
    </mc:AlternateContent>
  </oleObjec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dimension ref="A1:AA275"/>
  <sheetViews>
    <sheetView topLeftCell="A31" zoomScale="75" workbookViewId="0">
      <selection activeCell="H85" sqref="H85"/>
    </sheetView>
  </sheetViews>
  <sheetFormatPr baseColWidth="10" defaultRowHeight="12.75" x14ac:dyDescent="0.2"/>
  <cols>
    <col min="1" max="1" width="26.28515625" style="3" customWidth="1"/>
    <col min="2" max="2" width="55.5703125" style="3" bestFit="1" customWidth="1"/>
    <col min="3" max="3" width="10.140625" style="3" customWidth="1"/>
    <col min="4" max="4" width="12.28515625" style="3" customWidth="1"/>
    <col min="5" max="5" width="11.7109375" style="3" customWidth="1"/>
    <col min="6" max="6" width="12" style="3" customWidth="1"/>
    <col min="7" max="7" width="16.42578125" style="3" customWidth="1"/>
    <col min="8" max="8" width="13.85546875" style="3" customWidth="1"/>
    <col min="9" max="9" width="13" style="3" bestFit="1" customWidth="1"/>
    <col min="10" max="10" width="10" style="3" bestFit="1" customWidth="1"/>
    <col min="11" max="11" width="11.42578125" style="3"/>
    <col min="12" max="12" width="14.7109375" style="3" bestFit="1" customWidth="1"/>
    <col min="13" max="13" width="10.42578125" style="3" customWidth="1"/>
    <col min="14" max="14" width="16" style="3" customWidth="1"/>
    <col min="15" max="15" width="12" style="3" bestFit="1" customWidth="1"/>
    <col min="16" max="24" width="11.42578125" style="3"/>
    <col min="25" max="25" width="21.85546875" style="3" customWidth="1"/>
    <col min="26" max="16384" width="11.42578125" style="3"/>
  </cols>
  <sheetData>
    <row r="1" spans="1:19" x14ac:dyDescent="0.2">
      <c r="A1" s="3" t="s">
        <v>124</v>
      </c>
      <c r="B1" s="3">
        <v>2011</v>
      </c>
      <c r="G1" s="3" t="s">
        <v>181</v>
      </c>
    </row>
    <row r="3" spans="1:19" x14ac:dyDescent="0.2">
      <c r="A3" s="650" t="s">
        <v>268</v>
      </c>
      <c r="B3" s="650"/>
      <c r="C3" s="650"/>
      <c r="D3" s="650"/>
      <c r="E3" s="3">
        <v>35352</v>
      </c>
      <c r="G3" s="3" t="s">
        <v>297</v>
      </c>
      <c r="H3" s="82">
        <v>5.3999999999999999E-2</v>
      </c>
      <c r="J3" s="3" t="s">
        <v>300</v>
      </c>
      <c r="K3" s="87" t="s">
        <v>281</v>
      </c>
      <c r="L3" s="3">
        <v>39000</v>
      </c>
      <c r="M3" s="82">
        <v>3.0599999999999999E-2</v>
      </c>
      <c r="N3" s="87" t="s">
        <v>203</v>
      </c>
      <c r="O3" s="3">
        <v>137</v>
      </c>
    </row>
    <row r="4" spans="1:19" x14ac:dyDescent="0.2">
      <c r="A4" s="3" t="s">
        <v>252</v>
      </c>
      <c r="E4" s="3">
        <v>34620</v>
      </c>
      <c r="G4" s="3" t="s">
        <v>182</v>
      </c>
      <c r="H4" s="82">
        <v>0.08</v>
      </c>
      <c r="J4" s="3" t="s">
        <v>300</v>
      </c>
      <c r="K4" s="87" t="s">
        <v>282</v>
      </c>
      <c r="L4" s="3">
        <v>156000</v>
      </c>
      <c r="M4" s="82">
        <v>6.1199999999999997E-2</v>
      </c>
      <c r="N4" s="21"/>
    </row>
    <row r="5" spans="1:19" x14ac:dyDescent="0.2">
      <c r="A5" s="3" t="s">
        <v>228</v>
      </c>
      <c r="E5" s="3">
        <v>34308</v>
      </c>
      <c r="G5" s="3" t="s">
        <v>185</v>
      </c>
      <c r="H5" s="82">
        <v>4.0000000000000001E-3</v>
      </c>
      <c r="J5" s="3" t="s">
        <v>195</v>
      </c>
      <c r="K5" s="3">
        <v>266840</v>
      </c>
    </row>
    <row r="6" spans="1:19" x14ac:dyDescent="0.2">
      <c r="A6" s="9" t="s">
        <v>226</v>
      </c>
      <c r="B6" s="9"/>
      <c r="C6" s="9"/>
      <c r="D6" s="9"/>
      <c r="E6" s="3">
        <v>33276</v>
      </c>
      <c r="G6" s="3" t="s">
        <v>186</v>
      </c>
      <c r="H6" s="82">
        <v>2.5000000000000001E-2</v>
      </c>
      <c r="J6" s="3" t="s">
        <v>196</v>
      </c>
      <c r="K6" s="82">
        <v>2.1000000000000001E-2</v>
      </c>
    </row>
    <row r="7" spans="1:19" x14ac:dyDescent="0.2">
      <c r="A7" s="9"/>
      <c r="B7" s="9"/>
      <c r="C7" s="9"/>
      <c r="D7" s="9"/>
      <c r="G7" s="3" t="s">
        <v>187</v>
      </c>
      <c r="H7" s="82">
        <v>5.0000000000000001E-3</v>
      </c>
      <c r="J7" s="3" t="s">
        <v>197</v>
      </c>
      <c r="K7" s="3">
        <v>1430</v>
      </c>
      <c r="L7" s="3" t="s">
        <v>280</v>
      </c>
    </row>
    <row r="8" spans="1:19" x14ac:dyDescent="0.2">
      <c r="A8" s="9"/>
      <c r="B8" s="9"/>
      <c r="C8" s="9"/>
      <c r="D8" s="9"/>
      <c r="E8" s="9"/>
      <c r="G8" s="3" t="s">
        <v>188</v>
      </c>
      <c r="H8" s="82">
        <v>1.5E-3</v>
      </c>
    </row>
    <row r="9" spans="1:19" x14ac:dyDescent="0.2">
      <c r="A9" s="9"/>
      <c r="B9" s="9"/>
      <c r="C9" s="11"/>
      <c r="D9" s="11"/>
      <c r="E9" s="11"/>
      <c r="G9" s="3" t="s">
        <v>194</v>
      </c>
      <c r="H9" s="82">
        <v>8.5999999999999993E-2</v>
      </c>
      <c r="J9" s="87" t="s">
        <v>61</v>
      </c>
      <c r="K9" s="3" t="s">
        <v>199</v>
      </c>
      <c r="L9" s="3">
        <v>25246</v>
      </c>
      <c r="M9" s="82"/>
    </row>
    <row r="10" spans="1:19" x14ac:dyDescent="0.2">
      <c r="A10" s="9"/>
      <c r="B10" s="9"/>
      <c r="C10" s="9"/>
      <c r="D10" s="9"/>
      <c r="E10" s="9"/>
      <c r="G10" s="3" t="s">
        <v>194</v>
      </c>
      <c r="H10" s="82">
        <v>1.6E-2</v>
      </c>
      <c r="J10" s="3" t="s">
        <v>61</v>
      </c>
      <c r="K10" s="87" t="s">
        <v>293</v>
      </c>
      <c r="L10" s="3">
        <v>135246</v>
      </c>
      <c r="M10" s="82">
        <v>0.03</v>
      </c>
      <c r="N10" s="3" t="s">
        <v>203</v>
      </c>
      <c r="O10" s="3">
        <v>654</v>
      </c>
      <c r="P10" s="3" t="s">
        <v>257</v>
      </c>
      <c r="Q10" s="3">
        <v>180</v>
      </c>
    </row>
    <row r="11" spans="1:19" x14ac:dyDescent="0.2">
      <c r="A11" s="9"/>
      <c r="B11" s="9"/>
      <c r="C11" s="9"/>
      <c r="D11" s="9"/>
      <c r="E11" s="9"/>
      <c r="J11" s="3" t="s">
        <v>198</v>
      </c>
      <c r="K11" s="3">
        <v>1200</v>
      </c>
      <c r="M11" s="82"/>
    </row>
    <row r="12" spans="1:19" x14ac:dyDescent="0.2">
      <c r="A12" s="9"/>
      <c r="B12" s="9"/>
      <c r="C12" s="9"/>
      <c r="D12" s="9"/>
      <c r="E12" s="9"/>
    </row>
    <row r="13" spans="1:19" x14ac:dyDescent="0.2">
      <c r="A13" s="9"/>
      <c r="B13" s="9"/>
      <c r="C13" s="9"/>
      <c r="D13" s="9"/>
      <c r="E13" s="9"/>
      <c r="J13" s="3" t="s">
        <v>200</v>
      </c>
      <c r="K13" s="3">
        <v>2268</v>
      </c>
      <c r="P13" s="87"/>
    </row>
    <row r="14" spans="1:19" x14ac:dyDescent="0.2">
      <c r="J14" s="3" t="s">
        <v>158</v>
      </c>
      <c r="K14" s="87" t="s">
        <v>269</v>
      </c>
      <c r="L14" s="3">
        <f>E3*5</f>
        <v>176760</v>
      </c>
      <c r="M14" s="82">
        <v>0.1</v>
      </c>
      <c r="N14" s="3" t="s">
        <v>203</v>
      </c>
      <c r="O14" s="3">
        <v>1064</v>
      </c>
      <c r="P14" s="3" t="s">
        <v>258</v>
      </c>
      <c r="Q14" s="3">
        <v>222</v>
      </c>
      <c r="R14" s="3" t="s">
        <v>259</v>
      </c>
      <c r="S14" s="3">
        <v>1300</v>
      </c>
    </row>
    <row r="15" spans="1:19" ht="26.25" x14ac:dyDescent="0.4">
      <c r="C15" s="15" t="s">
        <v>149</v>
      </c>
      <c r="J15" s="3" t="s">
        <v>64</v>
      </c>
      <c r="K15" s="87" t="s">
        <v>285</v>
      </c>
      <c r="L15" s="3">
        <v>15720</v>
      </c>
      <c r="M15" s="3">
        <v>518</v>
      </c>
      <c r="O15" s="3">
        <v>144</v>
      </c>
    </row>
    <row r="16" spans="1:19" x14ac:dyDescent="0.2">
      <c r="G16" s="3" t="s">
        <v>229</v>
      </c>
      <c r="H16" s="82">
        <v>3.5E-4</v>
      </c>
      <c r="J16" s="3" t="s">
        <v>64</v>
      </c>
      <c r="K16" s="87" t="s">
        <v>286</v>
      </c>
      <c r="L16" s="3">
        <v>31440</v>
      </c>
      <c r="M16" s="3">
        <v>1942</v>
      </c>
      <c r="O16" s="3">
        <v>288</v>
      </c>
    </row>
    <row r="17" spans="1:19" x14ac:dyDescent="0.2">
      <c r="G17" s="3" t="s">
        <v>204</v>
      </c>
      <c r="H17" s="82">
        <v>6.0000000000000001E-3</v>
      </c>
      <c r="J17" s="3" t="s">
        <v>64</v>
      </c>
      <c r="K17" s="87" t="s">
        <v>287</v>
      </c>
      <c r="L17" s="3">
        <v>43470</v>
      </c>
      <c r="M17" s="3">
        <v>3064</v>
      </c>
      <c r="N17" s="3" t="s">
        <v>203</v>
      </c>
      <c r="O17" s="3">
        <v>288</v>
      </c>
    </row>
    <row r="18" spans="1:19" x14ac:dyDescent="0.2">
      <c r="A18" s="3" t="s">
        <v>55</v>
      </c>
      <c r="D18" s="84">
        <f>simulateur!N10</f>
        <v>3</v>
      </c>
      <c r="G18" s="3" t="s">
        <v>204</v>
      </c>
      <c r="H18" s="82">
        <v>5.8999999999999997E-2</v>
      </c>
      <c r="J18" s="3" t="s">
        <v>64</v>
      </c>
      <c r="K18" s="87" t="s">
        <v>288</v>
      </c>
      <c r="L18" s="3">
        <v>62740</v>
      </c>
      <c r="M18" s="3">
        <v>4791</v>
      </c>
      <c r="O18" s="3">
        <v>576</v>
      </c>
    </row>
    <row r="19" spans="1:19" x14ac:dyDescent="0.2">
      <c r="G19" s="3" t="s">
        <v>205</v>
      </c>
      <c r="H19" s="82">
        <v>1.1000000000000001E-3</v>
      </c>
      <c r="J19" s="3" t="s">
        <v>64</v>
      </c>
      <c r="K19" s="87" t="s">
        <v>289</v>
      </c>
      <c r="L19" s="3">
        <v>76800</v>
      </c>
      <c r="M19" s="3">
        <v>7639</v>
      </c>
      <c r="O19" s="3">
        <v>576</v>
      </c>
    </row>
    <row r="20" spans="1:19" x14ac:dyDescent="0.2">
      <c r="J20" s="3" t="s">
        <v>64</v>
      </c>
      <c r="K20" s="87" t="s">
        <v>290</v>
      </c>
      <c r="L20" s="3">
        <v>91160</v>
      </c>
      <c r="M20" s="3">
        <v>11653</v>
      </c>
      <c r="O20" s="3">
        <v>864</v>
      </c>
    </row>
    <row r="21" spans="1:19" x14ac:dyDescent="0.2">
      <c r="J21" s="3" t="s">
        <v>64</v>
      </c>
      <c r="K21" s="87" t="s">
        <v>291</v>
      </c>
      <c r="L21" s="3">
        <v>129020</v>
      </c>
      <c r="M21" s="3">
        <v>12948</v>
      </c>
      <c r="O21" s="3">
        <v>864</v>
      </c>
    </row>
    <row r="22" spans="1:19" x14ac:dyDescent="0.2">
      <c r="J22" s="3" t="s">
        <v>64</v>
      </c>
      <c r="K22" s="87" t="s">
        <v>292</v>
      </c>
      <c r="L22" s="3">
        <v>129020</v>
      </c>
      <c r="M22" s="3">
        <v>16185</v>
      </c>
      <c r="O22" s="3">
        <v>864</v>
      </c>
      <c r="R22" s="87" t="s">
        <v>295</v>
      </c>
      <c r="S22" s="82">
        <v>0.04</v>
      </c>
    </row>
    <row r="23" spans="1:19" x14ac:dyDescent="0.2">
      <c r="A23" s="9"/>
      <c r="B23" s="9"/>
      <c r="C23" s="9"/>
      <c r="D23" s="9"/>
      <c r="E23" s="9"/>
      <c r="J23" s="3" t="s">
        <v>65</v>
      </c>
      <c r="K23" s="87" t="s">
        <v>294</v>
      </c>
      <c r="L23" s="3">
        <v>123732</v>
      </c>
      <c r="M23" s="82">
        <v>9.1999999999999998E-2</v>
      </c>
      <c r="N23" s="3" t="s">
        <v>203</v>
      </c>
      <c r="O23" s="3">
        <v>700</v>
      </c>
      <c r="R23" s="3" t="s">
        <v>259</v>
      </c>
      <c r="S23" s="3">
        <v>1380</v>
      </c>
    </row>
    <row r="24" spans="1:19" x14ac:dyDescent="0.2">
      <c r="A24" s="9" t="s">
        <v>43</v>
      </c>
      <c r="B24" s="9" t="s">
        <v>167</v>
      </c>
      <c r="C24" s="9" t="s">
        <v>165</v>
      </c>
      <c r="D24" s="9" t="s">
        <v>93</v>
      </c>
      <c r="E24" s="9" t="s">
        <v>47</v>
      </c>
      <c r="F24" s="17" t="s">
        <v>48</v>
      </c>
      <c r="J24" s="3" t="s">
        <v>57</v>
      </c>
      <c r="K24" s="3" t="s">
        <v>201</v>
      </c>
      <c r="L24" s="3">
        <v>0</v>
      </c>
      <c r="M24" s="3">
        <v>1092</v>
      </c>
      <c r="N24" s="3" t="s">
        <v>591</v>
      </c>
      <c r="O24" s="3">
        <v>76</v>
      </c>
      <c r="R24" s="3" t="s">
        <v>302</v>
      </c>
      <c r="S24" s="3">
        <v>4140</v>
      </c>
    </row>
    <row r="25" spans="1:19" x14ac:dyDescent="0.2">
      <c r="A25" s="9"/>
      <c r="B25" s="9"/>
      <c r="C25" s="9"/>
      <c r="D25" s="9"/>
      <c r="E25" s="9"/>
      <c r="F25" s="17"/>
      <c r="J25" s="3" t="s">
        <v>57</v>
      </c>
      <c r="K25" s="3" t="s">
        <v>274</v>
      </c>
      <c r="L25" s="3">
        <v>41050</v>
      </c>
      <c r="M25" s="3">
        <v>1092</v>
      </c>
    </row>
    <row r="26" spans="1:19" x14ac:dyDescent="0.2">
      <c r="A26" s="9" t="s">
        <v>49</v>
      </c>
      <c r="B26" s="9">
        <f ca="1">simulateur!$L$96</f>
        <v>121590.4733810391</v>
      </c>
      <c r="C26" s="9">
        <f ca="1">simulateur!$L$96</f>
        <v>121590.4733810391</v>
      </c>
      <c r="D26" s="9">
        <f ca="1">simulateur!$L$96</f>
        <v>121590.4733810391</v>
      </c>
      <c r="E26" s="9">
        <f ca="1">simulateur!$L$96</f>
        <v>121590.4733810391</v>
      </c>
      <c r="F26" s="9">
        <f ca="1">simulateur!$L$96</f>
        <v>121590.4733810391</v>
      </c>
      <c r="J26" s="3" t="s">
        <v>57</v>
      </c>
      <c r="K26" s="3" t="s">
        <v>275</v>
      </c>
      <c r="L26" s="3">
        <v>48990</v>
      </c>
      <c r="M26" s="3">
        <v>2184</v>
      </c>
    </row>
    <row r="27" spans="1:19" x14ac:dyDescent="0.2">
      <c r="A27" s="9" t="s">
        <v>50</v>
      </c>
      <c r="B27" s="9">
        <f>simulateur!J73</f>
        <v>100</v>
      </c>
      <c r="C27" s="9">
        <f>simulateur!J73</f>
        <v>100</v>
      </c>
      <c r="D27" s="9">
        <f>simulateur!J73</f>
        <v>100</v>
      </c>
      <c r="E27" s="9">
        <f>simulateur!J73</f>
        <v>100</v>
      </c>
      <c r="F27" s="9">
        <f>simulateur!J73</f>
        <v>100</v>
      </c>
      <c r="J27" s="3" t="s">
        <v>57</v>
      </c>
      <c r="K27" s="3" t="s">
        <v>276</v>
      </c>
      <c r="L27" s="3">
        <v>57500</v>
      </c>
      <c r="M27" s="3">
        <v>3276</v>
      </c>
    </row>
    <row r="28" spans="1:19" x14ac:dyDescent="0.2">
      <c r="A28" s="9"/>
      <c r="B28" s="9"/>
      <c r="C28" s="9"/>
      <c r="D28" s="9"/>
      <c r="E28" s="9"/>
      <c r="J28" s="3" t="s">
        <v>57</v>
      </c>
      <c r="K28" s="3" t="s">
        <v>277</v>
      </c>
      <c r="L28" s="3">
        <v>66000</v>
      </c>
      <c r="M28" s="3">
        <v>5460</v>
      </c>
    </row>
    <row r="29" spans="1:19" x14ac:dyDescent="0.2">
      <c r="A29" s="96" t="s">
        <v>574</v>
      </c>
      <c r="B29" s="9">
        <f ca="1">B26+B27</f>
        <v>121690.4733810391</v>
      </c>
      <c r="C29" s="9">
        <f ca="1">C26+C27</f>
        <v>121690.4733810391</v>
      </c>
      <c r="D29" s="9">
        <f ca="1">D26+D27</f>
        <v>121690.4733810391</v>
      </c>
      <c r="E29" s="9">
        <f ca="1">E26+E27</f>
        <v>121690.4733810391</v>
      </c>
      <c r="F29" s="9">
        <f ca="1">F26+F27</f>
        <v>121690.4733810391</v>
      </c>
      <c r="J29" s="3" t="s">
        <v>57</v>
      </c>
      <c r="K29" s="3" t="s">
        <v>278</v>
      </c>
      <c r="L29" s="3">
        <v>82560</v>
      </c>
      <c r="M29" s="3">
        <v>7644</v>
      </c>
    </row>
    <row r="30" spans="1:19" x14ac:dyDescent="0.2">
      <c r="A30" s="9"/>
      <c r="B30" s="9"/>
      <c r="C30" s="9"/>
      <c r="D30" s="9"/>
      <c r="E30" s="9"/>
      <c r="J30" s="3" t="s">
        <v>57</v>
      </c>
      <c r="K30" s="3" t="s">
        <v>279</v>
      </c>
      <c r="L30" s="3">
        <v>82560</v>
      </c>
      <c r="M30" s="3">
        <v>10920</v>
      </c>
    </row>
    <row r="31" spans="1:19" x14ac:dyDescent="0.2">
      <c r="A31" s="9" t="s">
        <v>46</v>
      </c>
      <c r="B31" s="9">
        <f ca="1">$B$59-$C$60</f>
        <v>31877.557066154048</v>
      </c>
      <c r="C31" s="9">
        <f ca="1">$B$59-$C$60</f>
        <v>31877.557066154048</v>
      </c>
      <c r="D31" s="9">
        <f ca="1">$B$59-$C$60</f>
        <v>31877.557066154048</v>
      </c>
      <c r="E31" s="9">
        <f ca="1">$B$59-$C$60</f>
        <v>31877.557066154048</v>
      </c>
      <c r="F31" s="9">
        <f ca="1">$B$59-$C$60</f>
        <v>31877.557066154048</v>
      </c>
      <c r="J31" s="3" t="s">
        <v>210</v>
      </c>
      <c r="K31" s="3" t="s">
        <v>270</v>
      </c>
      <c r="L31" s="3">
        <v>60390</v>
      </c>
      <c r="M31" s="3">
        <v>6442</v>
      </c>
      <c r="N31" s="3" t="s">
        <v>203</v>
      </c>
      <c r="O31" s="3">
        <v>403</v>
      </c>
    </row>
    <row r="32" spans="1:19" x14ac:dyDescent="0.2">
      <c r="A32" s="9"/>
      <c r="B32" s="9"/>
      <c r="C32" s="9"/>
      <c r="D32" s="9"/>
      <c r="E32" s="9"/>
      <c r="K32" s="3" t="s">
        <v>271</v>
      </c>
      <c r="L32" s="3">
        <v>80520</v>
      </c>
      <c r="M32" s="3">
        <v>8052</v>
      </c>
    </row>
    <row r="33" spans="1:19" x14ac:dyDescent="0.2">
      <c r="A33" s="9" t="s">
        <v>51</v>
      </c>
      <c r="B33" s="9">
        <f ca="1">B29+B31</f>
        <v>153568.03044719316</v>
      </c>
      <c r="C33" s="9">
        <f ca="1">C29+C31</f>
        <v>153568.03044719316</v>
      </c>
      <c r="D33" s="9">
        <f ca="1">D29+D31</f>
        <v>153568.03044719316</v>
      </c>
      <c r="E33" s="9">
        <f ca="1">E29+E31</f>
        <v>153568.03044719316</v>
      </c>
      <c r="F33" s="9">
        <f ca="1">F29+F31</f>
        <v>153568.03044719316</v>
      </c>
      <c r="K33" s="3" t="s">
        <v>272</v>
      </c>
      <c r="L33" s="3">
        <v>80520</v>
      </c>
      <c r="M33" s="3">
        <v>9662</v>
      </c>
    </row>
    <row r="34" spans="1:19" x14ac:dyDescent="0.2">
      <c r="A34" s="9"/>
      <c r="B34" s="9"/>
      <c r="C34" s="9"/>
      <c r="D34" s="9"/>
      <c r="E34" s="9"/>
      <c r="F34" s="18" t="s">
        <v>110</v>
      </c>
      <c r="G34" s="18"/>
    </row>
    <row r="35" spans="1:19" x14ac:dyDescent="0.2">
      <c r="A35" s="9"/>
      <c r="B35" s="9"/>
      <c r="C35" s="9"/>
      <c r="D35" s="9"/>
      <c r="E35" s="9"/>
      <c r="F35" s="18"/>
      <c r="G35" s="18"/>
      <c r="J35" s="3" t="s">
        <v>212</v>
      </c>
      <c r="K35" s="3">
        <f>simulateur!L50</f>
        <v>240000</v>
      </c>
      <c r="L35" s="3">
        <v>1144941</v>
      </c>
      <c r="M35" s="82">
        <v>4.4999999999999998E-2</v>
      </c>
      <c r="N35" s="3" t="s">
        <v>214</v>
      </c>
    </row>
    <row r="36" spans="1:19" x14ac:dyDescent="0.2">
      <c r="A36" s="9"/>
      <c r="B36" s="9"/>
      <c r="C36" s="9"/>
      <c r="D36" s="9"/>
      <c r="E36" s="9"/>
      <c r="F36" s="18"/>
      <c r="G36" s="18"/>
      <c r="M36" s="3">
        <v>891</v>
      </c>
      <c r="N36" s="3" t="s">
        <v>213</v>
      </c>
    </row>
    <row r="37" spans="1:19" ht="15.75" x14ac:dyDescent="0.25">
      <c r="A37" s="19" t="s">
        <v>106</v>
      </c>
      <c r="B37" s="4" t="s">
        <v>121</v>
      </c>
      <c r="C37" s="4"/>
      <c r="D37" s="4"/>
      <c r="E37" s="4"/>
      <c r="G37" s="18"/>
      <c r="J37" s="3" t="s">
        <v>215</v>
      </c>
      <c r="K37" s="3" t="s">
        <v>261</v>
      </c>
      <c r="L37" s="3">
        <v>36000</v>
      </c>
      <c r="M37" s="3">
        <v>588</v>
      </c>
      <c r="N37" s="3" t="s">
        <v>296</v>
      </c>
      <c r="O37" s="3">
        <v>440</v>
      </c>
    </row>
    <row r="38" spans="1:19" s="161" customFormat="1" ht="25.5" x14ac:dyDescent="0.2">
      <c r="B38" s="160"/>
      <c r="E38" s="162" t="s">
        <v>668</v>
      </c>
      <c r="F38" s="162" t="s">
        <v>669</v>
      </c>
      <c r="G38" s="163" t="s">
        <v>670</v>
      </c>
      <c r="K38" s="161" t="s">
        <v>262</v>
      </c>
      <c r="L38" s="161">
        <v>46000</v>
      </c>
      <c r="M38" s="161">
        <v>2352</v>
      </c>
    </row>
    <row r="39" spans="1:19" x14ac:dyDescent="0.2">
      <c r="B39" s="4">
        <f>IF(simulateur!N10=10,1,IF(simulateur!N10=12,2,IF(simulateur!N10=14,3,IF(simulateur!N10=15,4,IF(simulateur!N10=16,5,0)))))</f>
        <v>0</v>
      </c>
      <c r="C39" s="4"/>
      <c r="D39" s="4"/>
      <c r="E39" s="164">
        <f ca="1">+SUM(B43:B54)</f>
        <v>17862.491574096628</v>
      </c>
      <c r="F39" s="164">
        <f ca="1">+VLOOKUP(E39,B43:C54,2,FALSE)</f>
        <v>3</v>
      </c>
      <c r="G39" s="165" t="str">
        <f ca="1">+VLOOKUP(F39,E42:F53,2,FALSE)</f>
        <v>CAVEC</v>
      </c>
      <c r="K39" s="3" t="s">
        <v>263</v>
      </c>
      <c r="L39" s="3">
        <v>59000</v>
      </c>
      <c r="M39" s="3">
        <v>4116</v>
      </c>
    </row>
    <row r="40" spans="1:19" x14ac:dyDescent="0.2">
      <c r="E40" s="156"/>
      <c r="F40" s="156"/>
      <c r="G40" s="157"/>
      <c r="K40" s="3" t="s">
        <v>264</v>
      </c>
      <c r="L40" s="3">
        <v>67000</v>
      </c>
      <c r="M40" s="3">
        <v>5880</v>
      </c>
    </row>
    <row r="41" spans="1:19" x14ac:dyDescent="0.2">
      <c r="A41" s="67" t="s">
        <v>164</v>
      </c>
      <c r="B41" s="3">
        <f ca="1">IF(B39=1,G118,IF(B39=5,G89+F115,G89))</f>
        <v>18908.657998351562</v>
      </c>
      <c r="E41" s="156"/>
      <c r="F41" s="156"/>
      <c r="G41" s="157"/>
      <c r="K41" s="3" t="s">
        <v>265</v>
      </c>
      <c r="L41" s="3">
        <v>76000</v>
      </c>
      <c r="M41" s="3">
        <v>8232</v>
      </c>
    </row>
    <row r="42" spans="1:19" x14ac:dyDescent="0.2">
      <c r="E42" s="158">
        <v>1</v>
      </c>
      <c r="F42" s="159" t="s">
        <v>57</v>
      </c>
      <c r="G42" s="157"/>
      <c r="K42" s="3" t="s">
        <v>266</v>
      </c>
      <c r="L42" s="3">
        <v>76000</v>
      </c>
      <c r="M42" s="3">
        <v>11760</v>
      </c>
    </row>
    <row r="43" spans="1:19" x14ac:dyDescent="0.2">
      <c r="A43" s="3" t="s">
        <v>103</v>
      </c>
      <c r="B43" s="3">
        <f>IF(simulateur!N10=1,C155,0)</f>
        <v>0</v>
      </c>
      <c r="C43" s="3">
        <v>1</v>
      </c>
      <c r="E43" s="158">
        <v>2</v>
      </c>
      <c r="F43" s="364" t="s">
        <v>60</v>
      </c>
      <c r="G43" s="157"/>
    </row>
    <row r="44" spans="1:19" x14ac:dyDescent="0.2">
      <c r="A44" s="3" t="s">
        <v>104</v>
      </c>
      <c r="B44" s="3">
        <f>IF(simulateur!N10=2,'ch soc'!E155,0)</f>
        <v>0</v>
      </c>
      <c r="C44" s="3">
        <v>2</v>
      </c>
      <c r="E44" s="158">
        <v>3</v>
      </c>
      <c r="F44" s="159" t="s">
        <v>64</v>
      </c>
      <c r="G44" s="157"/>
      <c r="O44" s="82"/>
    </row>
    <row r="45" spans="1:19" x14ac:dyDescent="0.2">
      <c r="A45" s="3" t="s">
        <v>219</v>
      </c>
      <c r="B45" s="3">
        <f>IF(simulateur!N10=14,G155,0)</f>
        <v>0</v>
      </c>
      <c r="C45" s="3">
        <v>14</v>
      </c>
      <c r="E45" s="158">
        <v>4</v>
      </c>
      <c r="F45" s="159" t="s">
        <v>212</v>
      </c>
      <c r="G45" s="157"/>
      <c r="J45" s="3" t="s">
        <v>67</v>
      </c>
      <c r="N45" s="3" t="s">
        <v>273</v>
      </c>
      <c r="O45" s="3">
        <v>4880</v>
      </c>
    </row>
    <row r="46" spans="1:19" x14ac:dyDescent="0.2">
      <c r="A46" s="3" t="s">
        <v>220</v>
      </c>
      <c r="B46" s="3">
        <f>IF(simulateur!N10=12,I155,0)</f>
        <v>0</v>
      </c>
      <c r="C46" s="3">
        <v>12</v>
      </c>
      <c r="E46" s="158">
        <v>5</v>
      </c>
      <c r="F46" s="159" t="s">
        <v>215</v>
      </c>
      <c r="G46" s="157"/>
      <c r="J46" s="3" t="s">
        <v>67</v>
      </c>
      <c r="N46" s="3" t="s">
        <v>203</v>
      </c>
      <c r="O46" s="3">
        <v>544</v>
      </c>
      <c r="R46" s="3" t="s">
        <v>259</v>
      </c>
      <c r="S46" s="3">
        <v>438</v>
      </c>
    </row>
    <row r="47" spans="1:19" x14ac:dyDescent="0.2">
      <c r="A47" s="3" t="s">
        <v>105</v>
      </c>
      <c r="B47" s="3">
        <f ca="1">IF(simulateur!N10=3,K155,0)</f>
        <v>17862.491574096628</v>
      </c>
      <c r="C47" s="3">
        <v>3</v>
      </c>
      <c r="E47" s="158">
        <v>10</v>
      </c>
      <c r="F47" s="159" t="s">
        <v>65</v>
      </c>
      <c r="G47" s="157"/>
      <c r="R47" s="3" t="s">
        <v>284</v>
      </c>
      <c r="S47" s="82">
        <v>1.5E-3</v>
      </c>
    </row>
    <row r="48" spans="1:19" x14ac:dyDescent="0.2">
      <c r="A48" s="3" t="s">
        <v>221</v>
      </c>
      <c r="B48" s="3">
        <f>IF(simulateur!N10=10,M155,IF(simulateur!N10=16,O155,0))</f>
        <v>0</v>
      </c>
      <c r="C48" s="3">
        <v>10</v>
      </c>
      <c r="E48" s="158">
        <v>11</v>
      </c>
      <c r="F48" s="159" t="s">
        <v>67</v>
      </c>
      <c r="G48" s="157"/>
      <c r="J48" s="3" t="s">
        <v>66</v>
      </c>
      <c r="N48" s="3" t="s">
        <v>203</v>
      </c>
      <c r="O48" s="3">
        <v>98</v>
      </c>
      <c r="R48" s="3" t="s">
        <v>259</v>
      </c>
      <c r="S48" s="3">
        <v>229</v>
      </c>
    </row>
    <row r="49" spans="1:7" x14ac:dyDescent="0.2">
      <c r="B49" s="85"/>
      <c r="E49" s="158">
        <v>12</v>
      </c>
      <c r="F49" s="159" t="s">
        <v>652</v>
      </c>
      <c r="G49" s="157"/>
    </row>
    <row r="50" spans="1:7" x14ac:dyDescent="0.2">
      <c r="A50" s="3" t="s">
        <v>222</v>
      </c>
      <c r="B50" s="3">
        <f>IF(simulateur!N10=11,Q155,0)</f>
        <v>0</v>
      </c>
      <c r="C50" s="3">
        <v>11</v>
      </c>
      <c r="E50" s="158">
        <v>13</v>
      </c>
      <c r="F50" s="159" t="s">
        <v>209</v>
      </c>
      <c r="G50" s="157"/>
    </row>
    <row r="51" spans="1:7" x14ac:dyDescent="0.2">
      <c r="A51" s="87" t="s">
        <v>301</v>
      </c>
      <c r="B51" s="3">
        <f>IF(simulateur!N10=15,S155,0)</f>
        <v>0</v>
      </c>
      <c r="C51" s="3">
        <v>15</v>
      </c>
      <c r="E51" s="158">
        <v>14</v>
      </c>
      <c r="F51" s="159" t="s">
        <v>61</v>
      </c>
      <c r="G51" s="157"/>
    </row>
    <row r="52" spans="1:7" x14ac:dyDescent="0.2">
      <c r="A52" s="3" t="s">
        <v>223</v>
      </c>
      <c r="B52" s="3">
        <f>IF(simulateur!N10=13,U155,0)</f>
        <v>0</v>
      </c>
      <c r="C52" s="3">
        <v>13</v>
      </c>
      <c r="E52" s="158">
        <v>15</v>
      </c>
      <c r="F52" s="159" t="s">
        <v>652</v>
      </c>
      <c r="G52" s="157"/>
    </row>
    <row r="53" spans="1:7" x14ac:dyDescent="0.2">
      <c r="A53" s="3" t="s">
        <v>217</v>
      </c>
      <c r="B53" s="3">
        <f>IF(simulateur!N10=4,W155,0)</f>
        <v>0</v>
      </c>
      <c r="C53" s="3">
        <v>4</v>
      </c>
      <c r="E53" s="158">
        <v>16</v>
      </c>
      <c r="F53" s="159" t="s">
        <v>65</v>
      </c>
      <c r="G53" s="156"/>
    </row>
    <row r="54" spans="1:7" x14ac:dyDescent="0.2">
      <c r="A54" s="3" t="s">
        <v>218</v>
      </c>
      <c r="B54" s="3">
        <f>IF(simulateur!N10=5,Y155,0)</f>
        <v>0</v>
      </c>
      <c r="C54" s="3">
        <v>5</v>
      </c>
      <c r="G54" s="18"/>
    </row>
    <row r="57" spans="1:7" x14ac:dyDescent="0.2">
      <c r="A57" s="3" t="s">
        <v>107</v>
      </c>
      <c r="B57" s="3">
        <f ca="1">IF(B39&gt;0,IF(B39&lt;5,E207,E192),E192)</f>
        <v>7391.8499294813073</v>
      </c>
      <c r="G57" s="18"/>
    </row>
    <row r="59" spans="1:7" x14ac:dyDescent="0.2">
      <c r="A59" s="20" t="s">
        <v>44</v>
      </c>
      <c r="B59" s="21">
        <f ca="1">SUM(B41:B57)</f>
        <v>44162.999501929502</v>
      </c>
      <c r="D59" s="21"/>
      <c r="G59" s="18"/>
    </row>
    <row r="60" spans="1:7" x14ac:dyDescent="0.2">
      <c r="A60" s="89" t="s">
        <v>267</v>
      </c>
      <c r="C60" s="3">
        <f ca="1">C72+C84</f>
        <v>12285.442435775452</v>
      </c>
      <c r="D60" s="3" t="s">
        <v>108</v>
      </c>
      <c r="F60" s="3">
        <f ca="1">C60*5.1/8</f>
        <v>7831.9695528068505</v>
      </c>
      <c r="G60" s="18"/>
    </row>
    <row r="61" spans="1:7" x14ac:dyDescent="0.2">
      <c r="D61" s="3" t="s">
        <v>109</v>
      </c>
      <c r="F61" s="3">
        <f ca="1">$C$60*2.9/8</f>
        <v>4453.472882968601</v>
      </c>
      <c r="G61" s="18"/>
    </row>
    <row r="62" spans="1:7" ht="13.5" thickBot="1" x14ac:dyDescent="0.25"/>
    <row r="63" spans="1:7" ht="13.5" thickBot="1" x14ac:dyDescent="0.25">
      <c r="A63" s="651" t="s">
        <v>125</v>
      </c>
      <c r="B63" s="652"/>
      <c r="C63" s="652"/>
      <c r="D63" s="652"/>
      <c r="E63" s="652"/>
      <c r="F63" s="652"/>
      <c r="G63" s="653"/>
    </row>
    <row r="64" spans="1:7" x14ac:dyDescent="0.2">
      <c r="A64" s="5"/>
      <c r="B64" s="6"/>
      <c r="C64" s="6"/>
      <c r="D64" s="6"/>
      <c r="E64" s="6"/>
      <c r="F64" s="6"/>
      <c r="G64" s="7"/>
    </row>
    <row r="65" spans="1:7" x14ac:dyDescent="0.2">
      <c r="A65" s="8"/>
      <c r="B65" s="9"/>
      <c r="C65" s="9"/>
      <c r="D65" s="9" t="s">
        <v>95</v>
      </c>
      <c r="E65" s="9" t="s">
        <v>96</v>
      </c>
      <c r="F65" s="9" t="s">
        <v>97</v>
      </c>
      <c r="G65" s="10" t="s">
        <v>98</v>
      </c>
    </row>
    <row r="66" spans="1:7" x14ac:dyDescent="0.2">
      <c r="A66" s="8" t="s">
        <v>94</v>
      </c>
      <c r="B66" s="9"/>
      <c r="C66" s="9"/>
      <c r="D66" s="9"/>
      <c r="E66" s="9"/>
      <c r="F66" s="9"/>
      <c r="G66" s="10"/>
    </row>
    <row r="67" spans="1:7" x14ac:dyDescent="0.2">
      <c r="A67" s="8" t="s">
        <v>169</v>
      </c>
      <c r="B67" s="9"/>
      <c r="C67" s="9">
        <f ca="1">D29*H3</f>
        <v>6571.2855625761113</v>
      </c>
      <c r="D67" s="9">
        <f ca="1">C67/4</f>
        <v>1642.8213906440278</v>
      </c>
      <c r="E67" s="9">
        <f ca="1">C67/4</f>
        <v>1642.8213906440278</v>
      </c>
      <c r="F67" s="9">
        <f ca="1">C67/4</f>
        <v>1642.8213906440278</v>
      </c>
      <c r="G67" s="9">
        <f ca="1">C67/4</f>
        <v>1642.8213906440278</v>
      </c>
    </row>
    <row r="68" spans="1:7" x14ac:dyDescent="0.2">
      <c r="A68" s="8"/>
      <c r="B68" s="9"/>
      <c r="C68" s="9"/>
      <c r="D68" s="9"/>
      <c r="E68" s="9"/>
      <c r="F68" s="9"/>
      <c r="G68" s="10"/>
    </row>
    <row r="69" spans="1:7" x14ac:dyDescent="0.2">
      <c r="A69" s="8"/>
      <c r="B69" s="9"/>
      <c r="C69" s="9"/>
      <c r="D69" s="9"/>
      <c r="E69" s="9"/>
      <c r="F69" s="9"/>
      <c r="G69" s="10"/>
    </row>
    <row r="70" spans="1:7" x14ac:dyDescent="0.2">
      <c r="A70" s="8"/>
      <c r="B70" s="9"/>
      <c r="C70" s="9"/>
      <c r="D70" s="9"/>
      <c r="E70" s="9"/>
      <c r="F70" s="9"/>
      <c r="G70" s="10"/>
    </row>
    <row r="71" spans="1:7" x14ac:dyDescent="0.2">
      <c r="A71" s="8" t="s">
        <v>99</v>
      </c>
      <c r="B71" s="9"/>
      <c r="C71" s="9"/>
      <c r="D71" s="9"/>
      <c r="E71" s="9"/>
      <c r="F71" s="9"/>
      <c r="G71" s="10"/>
    </row>
    <row r="72" spans="1:7" x14ac:dyDescent="0.2">
      <c r="A72" s="8" t="s">
        <v>170</v>
      </c>
      <c r="B72" s="9"/>
      <c r="C72" s="9">
        <f ca="1">D33*H4</f>
        <v>12285.442435775452</v>
      </c>
      <c r="D72" s="9">
        <f ca="1">C72/4</f>
        <v>3071.3606089438631</v>
      </c>
      <c r="E72" s="9">
        <f ca="1">C72/4</f>
        <v>3071.3606089438631</v>
      </c>
      <c r="F72" s="9">
        <f ca="1">C72/4</f>
        <v>3071.3606089438631</v>
      </c>
      <c r="G72" s="9">
        <f ca="1">C72/4</f>
        <v>3071.3606089438631</v>
      </c>
    </row>
    <row r="73" spans="1:7" x14ac:dyDescent="0.2">
      <c r="A73" s="8"/>
      <c r="B73" s="9"/>
      <c r="C73" s="9"/>
      <c r="D73" s="9"/>
      <c r="E73" s="9"/>
      <c r="F73" s="9"/>
      <c r="G73" s="10"/>
    </row>
    <row r="74" spans="1:7" x14ac:dyDescent="0.2">
      <c r="A74" s="8" t="s">
        <v>100</v>
      </c>
      <c r="B74" s="9"/>
      <c r="C74" s="9"/>
      <c r="D74" s="9"/>
      <c r="E74" s="9"/>
      <c r="F74" s="9"/>
      <c r="G74" s="10"/>
    </row>
    <row r="75" spans="1:7" x14ac:dyDescent="0.2">
      <c r="A75" s="8" t="s">
        <v>189</v>
      </c>
      <c r="B75" s="48">
        <f>H3</f>
        <v>5.3999999999999999E-2</v>
      </c>
      <c r="C75" s="9">
        <f ca="1">E29*H3</f>
        <v>6571.2855625761113</v>
      </c>
      <c r="D75" s="9"/>
      <c r="E75" s="9"/>
      <c r="F75" s="9"/>
      <c r="G75" s="10"/>
    </row>
    <row r="76" spans="1:7" x14ac:dyDescent="0.2">
      <c r="A76" s="8" t="s">
        <v>190</v>
      </c>
      <c r="B76" s="48">
        <f>H3</f>
        <v>5.3999999999999999E-2</v>
      </c>
      <c r="C76" s="9">
        <f ca="1">C29*H3</f>
        <v>6571.2855625761113</v>
      </c>
      <c r="D76" s="9"/>
      <c r="E76" s="9"/>
      <c r="F76" s="9"/>
      <c r="G76" s="10"/>
    </row>
    <row r="77" spans="1:7" x14ac:dyDescent="0.2">
      <c r="A77" s="8" t="s">
        <v>191</v>
      </c>
      <c r="B77" s="9"/>
      <c r="C77" s="9">
        <f ca="1">C75-C76</f>
        <v>0</v>
      </c>
      <c r="D77" s="9"/>
      <c r="E77" s="9"/>
      <c r="F77" s="9"/>
      <c r="G77" s="10">
        <f ca="1">C77</f>
        <v>0</v>
      </c>
    </row>
    <row r="78" spans="1:7" x14ac:dyDescent="0.2">
      <c r="A78" s="8"/>
      <c r="B78" s="9"/>
      <c r="C78" s="9"/>
      <c r="E78" s="9"/>
      <c r="F78" s="9"/>
      <c r="G78" s="10"/>
    </row>
    <row r="81" spans="1:22" x14ac:dyDescent="0.2">
      <c r="A81" s="8" t="s">
        <v>101</v>
      </c>
      <c r="B81" s="9"/>
      <c r="C81" s="9"/>
      <c r="D81" s="9"/>
      <c r="E81" s="9"/>
      <c r="F81" s="9"/>
      <c r="G81" s="10"/>
    </row>
    <row r="82" spans="1:22" x14ac:dyDescent="0.2">
      <c r="A82" s="8" t="s">
        <v>192</v>
      </c>
      <c r="B82" s="48">
        <f>H4</f>
        <v>0.08</v>
      </c>
      <c r="C82" s="9">
        <f ca="1">E33*H4</f>
        <v>12285.442435775452</v>
      </c>
      <c r="D82" s="9"/>
      <c r="E82" s="9"/>
      <c r="F82" s="9"/>
      <c r="G82" s="10"/>
    </row>
    <row r="83" spans="1:22" x14ac:dyDescent="0.2">
      <c r="A83" s="8" t="s">
        <v>193</v>
      </c>
      <c r="B83" s="48">
        <f>H4</f>
        <v>0.08</v>
      </c>
      <c r="C83" s="9">
        <f ca="1">C33*H4</f>
        <v>12285.442435775452</v>
      </c>
      <c r="D83" s="9"/>
      <c r="E83" s="9"/>
      <c r="F83" s="9"/>
      <c r="G83" s="10"/>
    </row>
    <row r="84" spans="1:22" x14ac:dyDescent="0.2">
      <c r="A84" s="8" t="s">
        <v>52</v>
      </c>
      <c r="B84" s="9"/>
      <c r="C84" s="9">
        <f ca="1">C82-C83</f>
        <v>0</v>
      </c>
      <c r="D84" s="9"/>
      <c r="E84" s="9"/>
      <c r="F84" s="9"/>
      <c r="G84" s="10">
        <f ca="1">C84</f>
        <v>0</v>
      </c>
      <c r="V84" s="3" t="s">
        <v>111</v>
      </c>
    </row>
    <row r="85" spans="1:22" x14ac:dyDescent="0.2">
      <c r="A85" s="8" t="s">
        <v>102</v>
      </c>
      <c r="B85" s="9"/>
      <c r="C85" s="9"/>
      <c r="D85" s="9"/>
      <c r="E85" s="9"/>
      <c r="F85" s="9"/>
      <c r="G85" s="1">
        <f>E4*H8</f>
        <v>51.93</v>
      </c>
    </row>
    <row r="86" spans="1:22" x14ac:dyDescent="0.2">
      <c r="A86" s="8"/>
      <c r="B86" s="9"/>
      <c r="C86" s="9"/>
      <c r="D86" s="9"/>
      <c r="E86" s="9"/>
      <c r="F86" s="9"/>
      <c r="G86" s="10"/>
    </row>
    <row r="87" spans="1:22" x14ac:dyDescent="0.2">
      <c r="A87" s="8" t="s">
        <v>53</v>
      </c>
      <c r="B87" s="9"/>
      <c r="C87" s="9"/>
      <c r="D87" s="9">
        <f ca="1">SUM(D67:D85)</f>
        <v>4714.1819995878905</v>
      </c>
      <c r="E87" s="9">
        <f ca="1">SUM(E67:E85)</f>
        <v>4714.1819995878905</v>
      </c>
      <c r="F87" s="9">
        <f ca="1">SUM(F67:F85)</f>
        <v>4714.1819995878905</v>
      </c>
      <c r="G87" s="9">
        <f ca="1">SUM(G67:G85)</f>
        <v>4766.1119995878908</v>
      </c>
      <c r="H87" s="9"/>
    </row>
    <row r="89" spans="1:22" ht="13.5" thickBot="1" x14ac:dyDescent="0.25">
      <c r="B89" s="3" t="s">
        <v>83</v>
      </c>
      <c r="G89" s="3">
        <f ca="1">SUM(D87:G87)</f>
        <v>18908.657998351562</v>
      </c>
    </row>
    <row r="90" spans="1:22" ht="13.5" thickBot="1" x14ac:dyDescent="0.25">
      <c r="A90" s="30" t="s">
        <v>145</v>
      </c>
      <c r="B90" s="31"/>
      <c r="C90" s="31"/>
      <c r="D90" s="31"/>
      <c r="E90" s="31"/>
      <c r="F90" s="31"/>
      <c r="G90" s="31"/>
      <c r="H90" s="31"/>
      <c r="I90" s="32"/>
    </row>
    <row r="91" spans="1:22" x14ac:dyDescent="0.2">
      <c r="A91" s="5"/>
      <c r="B91" s="6"/>
      <c r="C91" s="6"/>
      <c r="D91" s="6"/>
      <c r="E91" s="6"/>
      <c r="F91" s="6"/>
      <c r="G91" s="6"/>
      <c r="H91" s="6"/>
      <c r="I91" s="7"/>
    </row>
    <row r="92" spans="1:22" x14ac:dyDescent="0.2">
      <c r="A92" s="8"/>
      <c r="B92" s="9"/>
      <c r="C92" s="9"/>
      <c r="D92" s="9"/>
      <c r="E92" s="9"/>
      <c r="F92" s="9" t="s">
        <v>95</v>
      </c>
      <c r="G92" s="9" t="s">
        <v>96</v>
      </c>
      <c r="H92" s="9" t="s">
        <v>97</v>
      </c>
      <c r="I92" s="10" t="s">
        <v>98</v>
      </c>
    </row>
    <row r="93" spans="1:22" x14ac:dyDescent="0.2">
      <c r="A93" s="8" t="s">
        <v>94</v>
      </c>
      <c r="B93" s="9"/>
      <c r="C93" s="9"/>
      <c r="D93" s="9"/>
      <c r="E93" s="9"/>
      <c r="F93" s="9"/>
      <c r="G93" s="9"/>
      <c r="H93" s="9"/>
      <c r="I93" s="10"/>
    </row>
    <row r="94" spans="1:22" x14ac:dyDescent="0.2">
      <c r="A94" s="8" t="s">
        <v>128</v>
      </c>
      <c r="B94" s="9"/>
      <c r="C94" s="11" t="s">
        <v>184</v>
      </c>
      <c r="D94" s="88">
        <f>H5</f>
        <v>4.0000000000000001E-3</v>
      </c>
      <c r="E94" s="9">
        <f>E3*H5</f>
        <v>141.40800000000002</v>
      </c>
      <c r="F94" s="9"/>
      <c r="G94" s="9"/>
      <c r="H94" s="9"/>
      <c r="I94" s="10"/>
    </row>
    <row r="95" spans="1:22" x14ac:dyDescent="0.2">
      <c r="A95" s="8" t="s">
        <v>150</v>
      </c>
      <c r="B95" s="9"/>
      <c r="C95" s="11" t="s">
        <v>183</v>
      </c>
      <c r="D95" s="88">
        <f>H6</f>
        <v>2.5000000000000001E-2</v>
      </c>
      <c r="E95" s="9">
        <f ca="1">(D29-E3)*H6</f>
        <v>2158.4618345259778</v>
      </c>
      <c r="F95" s="9"/>
      <c r="G95" s="9"/>
      <c r="H95" s="9"/>
      <c r="I95" s="10"/>
    </row>
    <row r="96" spans="1:22" x14ac:dyDescent="0.2">
      <c r="A96" s="8"/>
      <c r="B96" s="9"/>
      <c r="C96" s="9"/>
      <c r="D96" s="22" t="s">
        <v>126</v>
      </c>
      <c r="E96" s="9">
        <f ca="1">SUM(E94:E95)</f>
        <v>2299.8698345259777</v>
      </c>
      <c r="F96" s="9">
        <f ca="1">E96/4</f>
        <v>574.96745863149442</v>
      </c>
      <c r="G96" s="9">
        <f ca="1">E96/4</f>
        <v>574.96745863149442</v>
      </c>
      <c r="H96" s="9">
        <f ca="1">E96/4</f>
        <v>574.96745863149442</v>
      </c>
      <c r="I96" s="9">
        <f ca="1">E96/4</f>
        <v>574.96745863149442</v>
      </c>
    </row>
    <row r="97" spans="1:9" x14ac:dyDescent="0.2">
      <c r="A97" s="8"/>
      <c r="B97" s="9"/>
      <c r="C97" s="9"/>
      <c r="D97" s="9"/>
      <c r="E97" s="9"/>
      <c r="F97" s="9"/>
      <c r="G97" s="9"/>
      <c r="H97" s="9"/>
      <c r="I97" s="10"/>
    </row>
    <row r="98" spans="1:9" x14ac:dyDescent="0.2">
      <c r="A98" s="8" t="s">
        <v>99</v>
      </c>
      <c r="B98" s="9"/>
      <c r="C98" s="9"/>
      <c r="D98" s="9"/>
      <c r="E98" s="9"/>
      <c r="F98" s="9"/>
      <c r="G98" s="9"/>
      <c r="H98" s="9"/>
      <c r="I98" s="10"/>
    </row>
    <row r="99" spans="1:9" x14ac:dyDescent="0.2">
      <c r="A99" s="8" t="s">
        <v>151</v>
      </c>
      <c r="B99" s="9"/>
      <c r="C99" s="9"/>
      <c r="D99" s="9"/>
      <c r="E99" s="9">
        <f ca="1">D33*H4</f>
        <v>12285.442435775452</v>
      </c>
      <c r="F99" s="9">
        <f ca="1">E99/4</f>
        <v>3071.3606089438631</v>
      </c>
      <c r="G99" s="9">
        <f ca="1">E99/4</f>
        <v>3071.3606089438631</v>
      </c>
      <c r="H99" s="9">
        <f ca="1">E99/4</f>
        <v>3071.3606089438631</v>
      </c>
      <c r="I99" s="9">
        <f ca="1">E99/4</f>
        <v>3071.3606089438631</v>
      </c>
    </row>
    <row r="100" spans="1:9" ht="27" customHeight="1" x14ac:dyDescent="0.2">
      <c r="A100" s="8"/>
      <c r="B100" s="9"/>
      <c r="C100" s="9"/>
      <c r="D100" s="9"/>
      <c r="E100" s="9"/>
      <c r="F100" s="9"/>
      <c r="G100" s="9"/>
      <c r="H100" s="9"/>
      <c r="I100" s="10"/>
    </row>
    <row r="101" spans="1:9" x14ac:dyDescent="0.2">
      <c r="A101" s="8" t="s">
        <v>100</v>
      </c>
      <c r="B101" s="9"/>
      <c r="C101" s="9"/>
      <c r="D101" s="9"/>
      <c r="E101" s="9"/>
      <c r="F101" s="9"/>
      <c r="G101" s="9"/>
      <c r="H101" s="9"/>
      <c r="I101" s="10"/>
    </row>
    <row r="102" spans="1:9" x14ac:dyDescent="0.2">
      <c r="A102" s="23" t="s">
        <v>128</v>
      </c>
      <c r="B102" s="9"/>
      <c r="C102" s="11" t="s">
        <v>184</v>
      </c>
      <c r="D102" s="88">
        <f>H5</f>
        <v>4.0000000000000001E-3</v>
      </c>
      <c r="E102" s="9">
        <f>E4*H5</f>
        <v>138.47999999999999</v>
      </c>
      <c r="F102" s="9"/>
      <c r="G102" s="9"/>
      <c r="H102" s="9"/>
      <c r="I102" s="10"/>
    </row>
    <row r="103" spans="1:9" x14ac:dyDescent="0.2">
      <c r="A103" s="8" t="s">
        <v>152</v>
      </c>
      <c r="B103" s="9"/>
      <c r="C103" s="11" t="s">
        <v>183</v>
      </c>
      <c r="D103" s="88">
        <f>H6</f>
        <v>2.5000000000000001E-2</v>
      </c>
      <c r="E103" s="9">
        <f ca="1">(E29-E4)*H6</f>
        <v>2176.7618345259775</v>
      </c>
      <c r="F103" s="9"/>
      <c r="G103" s="9"/>
      <c r="H103" s="9"/>
      <c r="I103" s="10"/>
    </row>
    <row r="104" spans="1:9" x14ac:dyDescent="0.2">
      <c r="A104" s="8"/>
      <c r="B104" s="9"/>
      <c r="C104" s="9"/>
      <c r="D104" s="22" t="s">
        <v>126</v>
      </c>
      <c r="E104" s="9">
        <f ca="1">SUM(E102:E103)</f>
        <v>2315.2418345259775</v>
      </c>
      <c r="F104" s="9"/>
      <c r="G104" s="9"/>
      <c r="H104" s="9"/>
      <c r="I104" s="10"/>
    </row>
    <row r="105" spans="1:9" x14ac:dyDescent="0.2">
      <c r="A105" s="8" t="s">
        <v>163</v>
      </c>
      <c r="B105" s="9"/>
      <c r="C105" s="9"/>
      <c r="D105" s="9"/>
      <c r="E105" s="9">
        <f ca="1">E4*0.4%+(C29-E4)*2.5%</f>
        <v>2315.2418345259775</v>
      </c>
      <c r="F105" s="9"/>
      <c r="G105" s="9"/>
      <c r="H105" s="9"/>
      <c r="I105" s="10"/>
    </row>
    <row r="106" spans="1:9" x14ac:dyDescent="0.2">
      <c r="A106" s="8" t="s">
        <v>52</v>
      </c>
      <c r="B106" s="9"/>
      <c r="C106" s="9"/>
      <c r="D106" s="9"/>
      <c r="E106" s="9">
        <f ca="1">E104-E105</f>
        <v>0</v>
      </c>
      <c r="F106" s="9"/>
      <c r="G106" s="9"/>
      <c r="H106" s="9"/>
      <c r="I106" s="10">
        <f ca="1">E106</f>
        <v>0</v>
      </c>
    </row>
    <row r="107" spans="1:9" x14ac:dyDescent="0.2">
      <c r="A107" s="8"/>
      <c r="B107" s="9"/>
      <c r="C107" s="9"/>
      <c r="D107" s="9"/>
      <c r="E107" s="9"/>
      <c r="F107" s="9"/>
      <c r="G107" s="9"/>
      <c r="H107" s="9"/>
      <c r="I107" s="10"/>
    </row>
    <row r="108" spans="1:9" x14ac:dyDescent="0.2">
      <c r="A108" s="8"/>
      <c r="B108" s="9"/>
      <c r="C108" s="9"/>
      <c r="D108" s="9"/>
      <c r="E108" s="9"/>
      <c r="F108" s="9"/>
      <c r="G108" s="9"/>
      <c r="H108" s="9"/>
      <c r="I108" s="10"/>
    </row>
    <row r="110" spans="1:9" x14ac:dyDescent="0.2">
      <c r="A110" s="8" t="s">
        <v>101</v>
      </c>
      <c r="B110" s="9"/>
      <c r="C110" s="9"/>
      <c r="D110" s="9"/>
      <c r="E110" s="9"/>
      <c r="F110" s="9"/>
      <c r="G110" s="9"/>
      <c r="H110" s="9"/>
      <c r="I110" s="10"/>
    </row>
    <row r="111" spans="1:9" x14ac:dyDescent="0.2">
      <c r="A111" s="8" t="s">
        <v>153</v>
      </c>
      <c r="B111" s="9"/>
      <c r="C111" s="9"/>
      <c r="D111" s="9"/>
      <c r="E111" s="9">
        <f ca="1">E33*H4</f>
        <v>12285.442435775452</v>
      </c>
      <c r="F111" s="9"/>
      <c r="G111" s="9"/>
      <c r="H111" s="9"/>
      <c r="I111" s="10"/>
    </row>
    <row r="112" spans="1:9" x14ac:dyDescent="0.2">
      <c r="A112" s="8" t="s">
        <v>154</v>
      </c>
      <c r="B112" s="9"/>
      <c r="C112" s="9"/>
      <c r="D112" s="9"/>
      <c r="E112" s="9">
        <f ca="1">C33*H4</f>
        <v>12285.442435775452</v>
      </c>
      <c r="F112" s="9"/>
      <c r="G112" s="9"/>
      <c r="H112" s="9"/>
      <c r="I112" s="10"/>
    </row>
    <row r="113" spans="1:27" x14ac:dyDescent="0.2">
      <c r="A113" s="8" t="s">
        <v>52</v>
      </c>
      <c r="B113" s="9"/>
      <c r="C113" s="9"/>
      <c r="D113" s="9"/>
      <c r="E113" s="9">
        <f ca="1">E111-E112</f>
        <v>0</v>
      </c>
      <c r="F113" s="9"/>
      <c r="G113" s="9"/>
      <c r="H113" s="9"/>
      <c r="I113" s="10">
        <f ca="1">E113</f>
        <v>0</v>
      </c>
    </row>
    <row r="114" spans="1:27" x14ac:dyDescent="0.2">
      <c r="A114" s="8" t="s">
        <v>102</v>
      </c>
      <c r="B114" s="9"/>
      <c r="C114" s="9"/>
      <c r="D114" s="9"/>
      <c r="E114" s="9"/>
      <c r="F114" s="9"/>
      <c r="G114" s="9"/>
      <c r="H114" s="9"/>
      <c r="I114" s="10">
        <f>E4*H8</f>
        <v>51.93</v>
      </c>
    </row>
    <row r="115" spans="1:27" x14ac:dyDescent="0.2">
      <c r="A115" s="8" t="s">
        <v>127</v>
      </c>
      <c r="B115" s="9"/>
      <c r="C115" s="9"/>
      <c r="D115" s="9"/>
      <c r="E115" s="9"/>
      <c r="F115" s="9">
        <f>E3*0.5%</f>
        <v>176.76</v>
      </c>
      <c r="G115" s="9"/>
      <c r="H115" s="9"/>
      <c r="I115" s="10"/>
    </row>
    <row r="116" spans="1:27" x14ac:dyDescent="0.2">
      <c r="A116" s="8" t="s">
        <v>53</v>
      </c>
      <c r="B116" s="9"/>
      <c r="C116" s="9"/>
      <c r="D116" s="9"/>
      <c r="E116" s="9"/>
      <c r="F116" s="9">
        <f ca="1">SUM(F96:F115)</f>
        <v>3823.0880675753579</v>
      </c>
      <c r="G116" s="9">
        <f ca="1">SUM(G96:G115)</f>
        <v>3646.3280675753576</v>
      </c>
      <c r="H116" s="9">
        <f ca="1">SUM(H96:H115)</f>
        <v>3646.3280675753576</v>
      </c>
      <c r="I116" s="9">
        <f ca="1">SUM(I96:I115)</f>
        <v>3698.2580675753575</v>
      </c>
      <c r="J116" s="21"/>
      <c r="K116" s="21"/>
    </row>
    <row r="117" spans="1:27" ht="13.5" thickBot="1" x14ac:dyDescent="0.25">
      <c r="A117" s="12"/>
      <c r="B117" s="13"/>
      <c r="C117" s="13"/>
      <c r="D117" s="13"/>
      <c r="E117" s="13"/>
      <c r="F117" s="13"/>
      <c r="G117" s="13"/>
      <c r="H117" s="13"/>
      <c r="I117" s="14"/>
      <c r="J117" s="21"/>
      <c r="K117" s="21"/>
    </row>
    <row r="118" spans="1:27" x14ac:dyDescent="0.2">
      <c r="B118" s="3" t="s">
        <v>83</v>
      </c>
      <c r="G118" s="3">
        <f ca="1">SUM(F116:I116)</f>
        <v>14814.002270301431</v>
      </c>
    </row>
    <row r="119" spans="1:27" ht="13.5" thickBot="1" x14ac:dyDescent="0.25"/>
    <row r="120" spans="1:27" x14ac:dyDescent="0.2">
      <c r="A120" s="33" t="s">
        <v>54</v>
      </c>
      <c r="B120" s="34"/>
      <c r="C120" s="34"/>
      <c r="D120" s="34"/>
      <c r="E120" s="34"/>
      <c r="F120" s="34"/>
      <c r="G120" s="34"/>
      <c r="H120" s="34"/>
      <c r="I120" s="34"/>
      <c r="J120" s="34"/>
      <c r="K120" s="34"/>
      <c r="L120" s="34"/>
      <c r="M120" s="34"/>
      <c r="N120" s="34"/>
      <c r="O120" s="34"/>
      <c r="P120" s="34"/>
      <c r="Q120" s="34"/>
      <c r="R120" s="34"/>
      <c r="S120" s="34"/>
      <c r="T120" s="34"/>
      <c r="U120" s="6"/>
      <c r="V120" s="6"/>
      <c r="W120" s="6"/>
      <c r="X120" s="6"/>
      <c r="Y120" s="7"/>
    </row>
    <row r="121" spans="1:27" x14ac:dyDescent="0.2">
      <c r="A121" s="35"/>
      <c r="B121" s="36"/>
      <c r="C121" s="36"/>
      <c r="D121" s="36"/>
      <c r="E121" s="36"/>
      <c r="F121" s="36"/>
      <c r="G121" s="36"/>
      <c r="H121" s="36"/>
      <c r="I121" s="36"/>
      <c r="J121" s="36"/>
      <c r="K121" s="36"/>
      <c r="L121" s="36"/>
      <c r="M121" s="36"/>
      <c r="N121" s="36"/>
      <c r="O121" s="36"/>
      <c r="P121" s="36"/>
      <c r="Q121" s="36"/>
      <c r="R121" s="36"/>
      <c r="S121" s="36"/>
      <c r="T121" s="36"/>
      <c r="U121" s="9"/>
      <c r="V121" s="9"/>
      <c r="W121" s="9"/>
      <c r="X121" s="9"/>
      <c r="Y121" s="10"/>
    </row>
    <row r="122" spans="1:27" ht="13.5" thickBot="1" x14ac:dyDescent="0.25">
      <c r="A122" s="37"/>
      <c r="B122" s="38"/>
      <c r="C122" s="38"/>
      <c r="D122" s="38"/>
      <c r="E122" s="38"/>
      <c r="F122" s="38"/>
      <c r="G122" s="38"/>
      <c r="H122" s="38"/>
      <c r="I122" s="38"/>
      <c r="J122" s="38"/>
      <c r="K122" s="38"/>
      <c r="L122" s="38"/>
      <c r="M122" s="38"/>
      <c r="N122" s="38"/>
      <c r="O122" s="38"/>
      <c r="P122" s="38"/>
      <c r="Q122" s="38"/>
      <c r="R122" s="38"/>
      <c r="S122" s="38"/>
      <c r="T122" s="38"/>
      <c r="U122" s="13"/>
      <c r="V122" s="13"/>
      <c r="W122" s="13"/>
      <c r="X122" s="13"/>
      <c r="Y122" s="14"/>
    </row>
    <row r="123" spans="1:27" x14ac:dyDescent="0.2">
      <c r="A123" s="8"/>
      <c r="B123" s="9"/>
      <c r="C123" s="11">
        <v>1</v>
      </c>
      <c r="D123" s="9"/>
      <c r="E123" s="11">
        <v>2</v>
      </c>
      <c r="F123" s="9"/>
      <c r="G123" s="11">
        <v>3</v>
      </c>
      <c r="H123" s="9"/>
      <c r="I123" s="11">
        <v>4</v>
      </c>
      <c r="J123" s="9"/>
      <c r="K123" s="11">
        <v>5</v>
      </c>
      <c r="L123" s="9"/>
      <c r="M123" s="11">
        <v>6</v>
      </c>
      <c r="N123" s="9"/>
      <c r="O123" s="11">
        <v>7</v>
      </c>
      <c r="P123" s="9"/>
      <c r="Q123" s="11">
        <v>8</v>
      </c>
      <c r="R123" s="9"/>
      <c r="S123" s="11">
        <v>9</v>
      </c>
      <c r="T123" s="9"/>
      <c r="U123" s="9"/>
      <c r="V123" s="9"/>
      <c r="W123" s="9"/>
      <c r="X123" s="9"/>
      <c r="Y123" s="10"/>
      <c r="AA123" s="11"/>
    </row>
    <row r="124" spans="1:27" x14ac:dyDescent="0.2">
      <c r="A124" s="8" t="s">
        <v>55</v>
      </c>
      <c r="B124" s="9"/>
      <c r="C124" s="68" t="s">
        <v>56</v>
      </c>
      <c r="D124" s="9"/>
      <c r="E124" s="68" t="s">
        <v>58</v>
      </c>
      <c r="F124" s="9"/>
      <c r="G124" s="60" t="s">
        <v>59</v>
      </c>
      <c r="H124" s="9"/>
      <c r="I124" s="68" t="s">
        <v>62</v>
      </c>
      <c r="J124" s="9"/>
      <c r="K124" s="68" t="s">
        <v>63</v>
      </c>
      <c r="L124" s="39" t="s">
        <v>130</v>
      </c>
      <c r="M124" s="39"/>
      <c r="N124" s="9" t="s">
        <v>45</v>
      </c>
      <c r="O124" s="9"/>
      <c r="Q124" s="68" t="s">
        <v>207</v>
      </c>
      <c r="R124" s="9"/>
      <c r="S124" s="68" t="s">
        <v>66</v>
      </c>
      <c r="T124" s="68"/>
      <c r="U124" s="9" t="s">
        <v>208</v>
      </c>
      <c r="V124" s="9"/>
      <c r="W124" s="9" t="s">
        <v>211</v>
      </c>
      <c r="X124" s="9"/>
      <c r="Y124" s="10" t="s">
        <v>216</v>
      </c>
      <c r="AA124" s="68"/>
    </row>
    <row r="125" spans="1:27" x14ac:dyDescent="0.2">
      <c r="A125" s="8"/>
      <c r="B125" s="9"/>
      <c r="C125" s="68" t="s">
        <v>57</v>
      </c>
      <c r="D125" s="9"/>
      <c r="E125" s="68" t="s">
        <v>60</v>
      </c>
      <c r="F125" s="9"/>
      <c r="G125" s="68" t="s">
        <v>61</v>
      </c>
      <c r="H125" s="9"/>
      <c r="I125" s="68" t="s">
        <v>253</v>
      </c>
      <c r="J125" s="9"/>
      <c r="K125" s="68" t="s">
        <v>64</v>
      </c>
      <c r="L125" s="9"/>
      <c r="M125" s="9" t="s">
        <v>65</v>
      </c>
      <c r="N125" s="9"/>
      <c r="O125" s="9"/>
      <c r="P125" s="59"/>
      <c r="Q125" s="68" t="s">
        <v>67</v>
      </c>
      <c r="R125" s="9"/>
      <c r="S125" s="68" t="s">
        <v>253</v>
      </c>
      <c r="T125" s="68"/>
      <c r="U125" s="9" t="s">
        <v>209</v>
      </c>
      <c r="V125" s="9"/>
      <c r="W125" s="9" t="s">
        <v>212</v>
      </c>
      <c r="X125" s="9"/>
      <c r="Y125" s="10" t="s">
        <v>215</v>
      </c>
      <c r="AA125" s="68"/>
    </row>
    <row r="126" spans="1:27" x14ac:dyDescent="0.2">
      <c r="A126" s="8"/>
      <c r="B126" s="9"/>
      <c r="C126" s="9"/>
      <c r="D126" s="9"/>
      <c r="E126" s="9"/>
      <c r="F126" s="9"/>
      <c r="G126" s="9"/>
      <c r="H126" s="9"/>
      <c r="I126" s="9"/>
      <c r="J126" s="9"/>
      <c r="K126" s="9"/>
      <c r="L126" s="9"/>
      <c r="M126" s="9"/>
      <c r="N126" s="9"/>
      <c r="O126" s="9"/>
      <c r="P126" s="9"/>
      <c r="Q126" s="9"/>
      <c r="R126" s="9"/>
      <c r="S126" s="9"/>
      <c r="T126" s="9"/>
      <c r="U126" s="9"/>
      <c r="V126" s="9"/>
      <c r="W126" s="9"/>
      <c r="X126" s="9"/>
      <c r="Y126" s="10"/>
      <c r="AA126" s="9"/>
    </row>
    <row r="127" spans="1:27" x14ac:dyDescent="0.2">
      <c r="A127" s="8" t="s">
        <v>74</v>
      </c>
      <c r="B127" s="9"/>
      <c r="C127" s="9">
        <f ca="1">D29</f>
        <v>121690.4733810391</v>
      </c>
      <c r="D127" s="9"/>
      <c r="E127" s="9">
        <f ca="1">D29</f>
        <v>121690.4733810391</v>
      </c>
      <c r="F127" s="9"/>
      <c r="G127" s="9">
        <f ca="1">D29</f>
        <v>121690.4733810391</v>
      </c>
      <c r="H127" s="9"/>
      <c r="I127" s="9">
        <f ca="1">$D$29</f>
        <v>121690.4733810391</v>
      </c>
      <c r="J127" s="9"/>
      <c r="K127" s="9">
        <f ca="1">$D$29</f>
        <v>121690.4733810391</v>
      </c>
      <c r="L127" s="9"/>
      <c r="M127" s="9">
        <f ca="1">$D$29</f>
        <v>121690.4733810391</v>
      </c>
      <c r="N127" s="9"/>
      <c r="O127" s="9">
        <f ca="1">$D$29</f>
        <v>121690.4733810391</v>
      </c>
      <c r="P127" s="9"/>
      <c r="Q127" s="9">
        <f ca="1">$D$29</f>
        <v>121690.4733810391</v>
      </c>
      <c r="R127" s="9"/>
      <c r="S127" s="9">
        <f ca="1">$D$29</f>
        <v>121690.4733810391</v>
      </c>
      <c r="T127" s="9"/>
      <c r="U127" s="9">
        <f ca="1">$D$29</f>
        <v>121690.4733810391</v>
      </c>
      <c r="V127" s="9"/>
      <c r="W127" s="9">
        <f ca="1">$D$29</f>
        <v>121690.4733810391</v>
      </c>
      <c r="X127" s="9"/>
      <c r="Y127" s="10">
        <f ca="1">$D$29</f>
        <v>121690.4733810391</v>
      </c>
      <c r="AA127" s="9"/>
    </row>
    <row r="128" spans="1:27" x14ac:dyDescent="0.2">
      <c r="A128" s="8" t="s">
        <v>144</v>
      </c>
      <c r="B128" s="9"/>
      <c r="C128" s="9"/>
      <c r="D128" s="9"/>
      <c r="E128" s="9">
        <f ca="1">E29</f>
        <v>121690.4733810391</v>
      </c>
      <c r="F128" s="9"/>
      <c r="G128" s="9"/>
      <c r="H128" s="9"/>
      <c r="I128" s="9"/>
      <c r="J128" s="9"/>
      <c r="K128" s="9"/>
      <c r="L128" s="9"/>
      <c r="M128" s="9"/>
      <c r="N128" s="9"/>
      <c r="O128" s="9"/>
      <c r="P128" s="9"/>
      <c r="Q128" s="9"/>
      <c r="R128" s="9"/>
      <c r="S128" s="9"/>
      <c r="T128" s="9"/>
      <c r="U128" s="9"/>
      <c r="V128" s="9"/>
      <c r="W128" s="9"/>
      <c r="X128" s="9"/>
      <c r="Y128" s="10"/>
      <c r="AA128" s="9"/>
    </row>
    <row r="129" spans="1:27" x14ac:dyDescent="0.2">
      <c r="B129" s="9"/>
      <c r="C129" s="9"/>
      <c r="D129" s="9"/>
      <c r="E129" s="9"/>
      <c r="F129" s="9"/>
      <c r="G129" s="9"/>
      <c r="H129" s="9"/>
      <c r="I129" s="9"/>
      <c r="J129" s="9"/>
      <c r="K129" s="9"/>
      <c r="L129" s="9"/>
      <c r="M129" s="9"/>
      <c r="N129" s="9"/>
      <c r="O129" s="9"/>
      <c r="P129" s="9"/>
      <c r="Q129" s="9"/>
      <c r="R129" s="9"/>
      <c r="S129" s="9"/>
      <c r="T129" s="9"/>
      <c r="U129" s="9"/>
      <c r="V129" s="9"/>
      <c r="W129" s="9"/>
      <c r="X129" s="9"/>
      <c r="Y129" s="10"/>
      <c r="AA129" s="9"/>
    </row>
    <row r="130" spans="1:27" x14ac:dyDescent="0.2">
      <c r="A130" s="8" t="s">
        <v>68</v>
      </c>
      <c r="B130" s="9"/>
      <c r="C130" s="9"/>
      <c r="D130" s="9"/>
      <c r="E130" s="9"/>
      <c r="F130" s="9"/>
      <c r="G130" s="9"/>
      <c r="H130" s="9"/>
      <c r="I130" s="9"/>
      <c r="J130" s="9"/>
      <c r="K130" s="9"/>
      <c r="L130" s="9"/>
      <c r="M130" s="9"/>
      <c r="N130" s="9"/>
      <c r="O130" s="9"/>
      <c r="P130" s="9"/>
      <c r="Q130" s="9"/>
      <c r="R130" s="9"/>
      <c r="S130" s="9"/>
      <c r="T130" s="9"/>
      <c r="U130" s="9"/>
      <c r="V130" s="9"/>
      <c r="W130" s="9"/>
      <c r="X130" s="9"/>
      <c r="Y130" s="10"/>
      <c r="AA130" s="9"/>
    </row>
    <row r="131" spans="1:27" x14ac:dyDescent="0.2">
      <c r="A131" s="8" t="s">
        <v>155</v>
      </c>
      <c r="B131" s="9"/>
      <c r="C131" s="9">
        <f ca="1">IF($D$29&lt;=E3*0.85,$D$29*$H$9,IF($D$29&lt;=$E$3*5,$E$3*0.85*$H$9+($D$29-0.85*$E$3)*$H10,$E$3*0.85*$H$9+($E$3*5-$E$3*0.85)*$H$10))</f>
        <v>4050.4915740966253</v>
      </c>
      <c r="D131" s="9"/>
      <c r="E131" s="9">
        <f ca="1">IF($E$127&lt;=$K$5,$E$127*$K$6,$K$5*$K$6)</f>
        <v>2555.4999410018213</v>
      </c>
      <c r="F131" s="9"/>
      <c r="G131" s="9">
        <f ca="1">IF($D$29&lt;=$E$3*0.85,$D$29*$H$9,IF($D$29&lt;=$E$3*5,$E$3*0.85*$H$9+($D$29-0.85*$E$3)*$H$10,$E$3*0.85*$H$9+($E$3*5-$E$3*0.85)*$H$10))</f>
        <v>4050.4915740966253</v>
      </c>
      <c r="H131" s="9"/>
      <c r="I131" s="9">
        <f ca="1">IF($D$29&lt;=$E$3*0.85,$D$29*H9,IF($D$29&lt;=$E$3*5,$E$3*0.85*$H$9+($D$29-0.85*$E$3)*$H$10,$E$3*0.85*$H$9+($E$3*5-$E$3*0.85)*$H$10))</f>
        <v>4050.4915740966253</v>
      </c>
      <c r="J131" s="9"/>
      <c r="K131" s="9">
        <f ca="1">IF($D$29&lt;=$E$3*0.85,$D$29*$H$9,IF($D$29&lt;=$E$3*5,$E$3*0.85*$H$9+($D$29-0.85*$E$3)*$H$10,$E$3*0.85*$H$9+($E$3*5-$E$3*0.85)*$H$10))</f>
        <v>4050.4915740966253</v>
      </c>
      <c r="L131" s="9"/>
      <c r="M131" s="9">
        <f ca="1">IF($D29&lt;=$E$3*0.85,D29*$H9,IF($D29&lt;=$E$3*5,$E$3*0.85*$H$9+($D$29-0.85*$E$3)*$H$10,$E$3*0.85*$H$9+($E$3*5-$E$3*0.85)*$H$10))</f>
        <v>4050.4915740966253</v>
      </c>
      <c r="N131" s="9"/>
      <c r="O131" s="9">
        <f ca="1">IF($D29&lt;=$E$3*0.85,D29*$H9,IF($D29&lt;=$E$3*5,$E$3*0.85*$H$9+($D$29-0.85*$E$3)*$H$10,$E$3*0.85*$H$9+($E$3*5-$E$3*0.85)*$H$10))</f>
        <v>4050.4915740966253</v>
      </c>
      <c r="P131" s="9"/>
      <c r="Q131" s="9">
        <f ca="1">IF($D29&lt;=$E$3*0.85,D29*$H9,IF($D29&lt;=$E$3*5,$E$3*0.85*$H$9+($D$29-0.85*$E$3)*$H$10,$E$3*0.85*$H$9+($E$3*5-$E$3*0.85)*$H$10))</f>
        <v>4050.4915740966253</v>
      </c>
      <c r="R131" s="9"/>
      <c r="S131" s="9">
        <f ca="1">IF($D29&lt;=$E$3*0.85,T29*$H9,IF($D29&lt;=$E$3*5,$E$3*0.85*$H$9+($D$29-0.85*$E$3)*$H$10,$E$3*0.85*$H$9+($E$3*5-$E$3*0.85)*$H$10))</f>
        <v>4050.4915740966253</v>
      </c>
      <c r="T131" s="9"/>
      <c r="U131" s="9">
        <f ca="1">IF($D29&lt;=$E$3*0.85,V29*$H9,IF($D29&lt;=$E$3*5,$E$3*0.85*$H$9+($D$29-0.85*$E$3)*$H$10,$E$3*0.85*$H$9+($E$3*5-$E$3*0.85)*$H$10))</f>
        <v>4050.4915740966253</v>
      </c>
      <c r="V131" s="9"/>
      <c r="W131" s="9">
        <f ca="1">IF($D29&lt;=$E$3*0.85,X29*$H9,IF($D29&lt;=$E$3*5,$E$3*0.85*$H$9+($D$29-0.85*$E$3)*$H$10,$E$3*0.85*$H$9+($E$3*5-$E$3*0.85)*$H$10))</f>
        <v>4050.4915740966253</v>
      </c>
      <c r="X131" s="9"/>
      <c r="Y131" s="9">
        <f ca="1">IF($D29&lt;=$E$3*0.85,Z29*$H9,IF($D29&lt;=$E$3*5,$E$3*0.85*$H$9+($D$29-0.85*$E$3)*$H$10,$E$3*0.85*$H$9+($E$3*5-$E$3*0.85)*$H$10))</f>
        <v>4050.4915740966253</v>
      </c>
      <c r="AA131" s="9"/>
    </row>
    <row r="132" spans="1:27" x14ac:dyDescent="0.2">
      <c r="A132" s="8" t="s">
        <v>260</v>
      </c>
      <c r="B132" s="9"/>
      <c r="C132" s="9"/>
      <c r="D132" s="58"/>
      <c r="E132" s="9">
        <f>$K$7</f>
        <v>1430</v>
      </c>
      <c r="F132" s="9"/>
      <c r="G132" s="9"/>
      <c r="H132" s="9"/>
      <c r="I132" s="9"/>
      <c r="J132" s="9"/>
      <c r="K132" s="9"/>
      <c r="L132" s="9"/>
      <c r="M132" s="64"/>
      <c r="N132" s="9"/>
      <c r="O132" s="64"/>
      <c r="P132" s="60"/>
      <c r="Q132" s="68"/>
      <c r="R132" s="9"/>
      <c r="S132" s="9"/>
      <c r="T132" s="9"/>
      <c r="U132" s="9"/>
      <c r="V132" s="9"/>
      <c r="W132" s="9"/>
      <c r="X132" s="9"/>
      <c r="Y132" s="10"/>
      <c r="AA132" s="9"/>
    </row>
    <row r="133" spans="1:27" x14ac:dyDescent="0.2">
      <c r="B133" s="9"/>
      <c r="C133" s="9"/>
      <c r="D133" s="9"/>
      <c r="E133" s="9"/>
      <c r="F133" s="9"/>
      <c r="G133" s="9"/>
      <c r="H133" s="9"/>
      <c r="I133" s="9"/>
      <c r="J133" s="9"/>
      <c r="K133" s="9"/>
      <c r="N133" s="9"/>
      <c r="O133" s="9"/>
      <c r="P133" s="83"/>
      <c r="R133" s="9"/>
      <c r="S133" s="9"/>
      <c r="T133" s="9"/>
      <c r="U133" s="9"/>
      <c r="V133" s="9"/>
      <c r="W133" s="9"/>
      <c r="X133" s="9"/>
      <c r="Y133" s="10"/>
      <c r="AA133" s="9"/>
    </row>
    <row r="134" spans="1:27" x14ac:dyDescent="0.2">
      <c r="B134" s="9"/>
      <c r="C134" s="9"/>
      <c r="D134" s="9"/>
      <c r="E134" s="9"/>
      <c r="F134" s="22"/>
      <c r="G134" s="11"/>
      <c r="H134" s="9"/>
      <c r="I134" s="9"/>
      <c r="J134" s="9"/>
      <c r="K134" s="9"/>
      <c r="L134" s="9"/>
      <c r="M134" s="9"/>
      <c r="N134" s="9"/>
      <c r="O134" s="9"/>
      <c r="P134" s="67"/>
      <c r="R134" s="9"/>
      <c r="S134" s="9"/>
      <c r="T134" s="9"/>
      <c r="U134" s="9"/>
      <c r="V134" s="9"/>
      <c r="W134" s="9"/>
      <c r="X134" s="9"/>
      <c r="Y134" s="10"/>
      <c r="AA134" s="9"/>
    </row>
    <row r="135" spans="1:27" x14ac:dyDescent="0.2">
      <c r="A135" s="8" t="s">
        <v>69</v>
      </c>
      <c r="B135" s="9"/>
      <c r="C135" s="9"/>
      <c r="D135" s="9"/>
      <c r="E135" s="9"/>
      <c r="F135" s="9"/>
      <c r="G135" s="9"/>
      <c r="H135" s="9"/>
      <c r="I135" s="9"/>
      <c r="J135" s="9"/>
      <c r="K135" s="9"/>
      <c r="L135" s="9"/>
      <c r="M135" s="9"/>
      <c r="N135" s="9"/>
      <c r="O135" s="9"/>
      <c r="P135" s="57" t="s">
        <v>129</v>
      </c>
      <c r="Q135" s="52"/>
      <c r="R135" s="55"/>
      <c r="S135" s="52"/>
      <c r="T135" s="9"/>
      <c r="U135" s="9"/>
      <c r="V135" s="9"/>
      <c r="W135" s="9">
        <f>IF($K$35&lt;=$L$35,$K$35*$M$35,$L$35*$M$35)</f>
        <v>10800</v>
      </c>
      <c r="X135" s="9"/>
      <c r="Y135" s="10"/>
      <c r="AA135" s="9"/>
    </row>
    <row r="136" spans="1:27" x14ac:dyDescent="0.2">
      <c r="A136" s="8" t="s">
        <v>156</v>
      </c>
      <c r="B136" s="9"/>
      <c r="C136" s="68">
        <f ca="1">IF($C$127&lt;=$L$24,$M$24,IF($C$127&lt;=$L$25,$M$25,IF($C$127&lt;=$L$26,$M$26,IF($C$127&lt;=$L$27,$M$27,IF($C$127&lt;=$L$28,M$28,IF($C$127&lt;=$L$29,$M$29,$M$30))))))</f>
        <v>10920</v>
      </c>
      <c r="D136" s="55"/>
      <c r="E136" s="69"/>
      <c r="F136" s="55"/>
      <c r="G136" s="69">
        <f>$K$11</f>
        <v>1200</v>
      </c>
      <c r="H136" s="55"/>
      <c r="I136" s="69">
        <f>$K$13</f>
        <v>2268</v>
      </c>
      <c r="J136" s="53"/>
      <c r="K136" s="52"/>
      <c r="L136" s="55"/>
      <c r="M136" s="52"/>
      <c r="N136" s="55"/>
      <c r="O136" s="56"/>
      <c r="P136" s="40" t="s">
        <v>131</v>
      </c>
      <c r="Q136" s="70">
        <f>$O$45</f>
        <v>4880</v>
      </c>
      <c r="R136" s="40"/>
      <c r="S136" s="41">
        <f>$K$13</f>
        <v>2268</v>
      </c>
      <c r="T136" s="9" t="s">
        <v>224</v>
      </c>
      <c r="U136" s="9">
        <f ca="1">IF($U$127&lt;=$L$31,$M$31,IF($U$127&lt;=$L$32,$M$32,$M$33))</f>
        <v>9662</v>
      </c>
      <c r="V136" s="9"/>
      <c r="W136" s="9">
        <f>$M$36</f>
        <v>891</v>
      </c>
      <c r="X136" s="9"/>
      <c r="Y136" s="10">
        <f ca="1">IF($Y$127&lt;=$L$37,$M$37,IF($Y$127&lt;=$L$38,$M$38,IF($Y$127&lt;=$L$39,$M$39,IF($Y$127&lt;=$L$40,$M$40,IF($Y$127&lt;=$L$41,$M$41,$M$42)))))</f>
        <v>11760</v>
      </c>
      <c r="AA136" s="69"/>
    </row>
    <row r="137" spans="1:27" x14ac:dyDescent="0.2">
      <c r="A137" s="23" t="s">
        <v>155</v>
      </c>
      <c r="B137" s="9"/>
      <c r="C137" s="9"/>
      <c r="D137" s="40"/>
      <c r="E137" s="70">
        <f ca="1">IF($E$128&lt;=$L$3,$E$128*$M$3,IF(AND($E$128&gt;$L$3,$E$128&lt;=$L$4),($E$128-$L$3)*$M$4+$L$3*$M$3,IF($E$128&gt;$L$4,($L$4-$L$3)*$M$4+$L$3*$M$3,"")))</f>
        <v>6254.0569709195925</v>
      </c>
      <c r="F137" s="71"/>
      <c r="G137" s="70">
        <f ca="1">IF($G$127&lt;=$L$9,0,IF(AND($G$127&gt;$L$9,$G$127&lt;=$L$10),($G$127-$L$9)*$M$10,IF($G$127&gt;$L$10,($L$10-$L$9)*$M$10,0)))</f>
        <v>2893.3342014311729</v>
      </c>
      <c r="H137" s="71"/>
      <c r="I137" s="70">
        <f ca="1">IF(AND($I$127&gt;$E$3,$I$127&lt;=$L$14),($I$127-$E$3)*$M$14,IF($I$127&gt;$L$14,($L$14-$E$3)*$M$14,0))</f>
        <v>8633.8473381039112</v>
      </c>
      <c r="J137" s="54"/>
      <c r="K137" s="70">
        <f ca="1">IF($K$127&lt;=$L$15,$M$15,IF($K$127&lt;=$L$16,$M$16,IF($K$127&lt;$L$17,$M$17,IF($K$127&lt;$L$18,$M$18,IF($K$127&lt;$L$19,$M$19,IF($K$127&lt;$L$20,$M$20,IF($K$127&lt;$L$21,$M$21,$M$22)))))))</f>
        <v>12948</v>
      </c>
      <c r="L137" s="61"/>
      <c r="M137" s="70">
        <f ca="1">IF($M$127&lt;=L$23,$M$127*$M$23,$L$23*$M$23)</f>
        <v>11195.523551055598</v>
      </c>
      <c r="N137" s="61"/>
      <c r="O137" s="70">
        <f ca="1">IF($O$127&lt;$L23,$O$127*$M$23,$L$23*$M$23)</f>
        <v>11195.523551055598</v>
      </c>
      <c r="P137" s="40"/>
      <c r="Q137" s="41"/>
      <c r="R137" s="40"/>
      <c r="S137" s="70">
        <f ca="1">IF(AND($S$127&gt;$E$3,$S$127&lt;=$L$14),($S$127-$E$3)*$M$14,IF($S$127&gt;$L$14,($L$14-$E$3)*$M$14,0))</f>
        <v>8633.8473381039112</v>
      </c>
      <c r="T137" s="9" t="s">
        <v>225</v>
      </c>
      <c r="U137" s="9"/>
      <c r="V137" s="9"/>
      <c r="W137" s="9"/>
      <c r="X137" s="9"/>
      <c r="Y137" s="10"/>
      <c r="AA137" s="70"/>
    </row>
    <row r="138" spans="1:27" x14ac:dyDescent="0.2">
      <c r="A138" s="8"/>
      <c r="B138" s="9"/>
      <c r="C138" s="9"/>
      <c r="D138" s="42"/>
      <c r="E138" s="43"/>
      <c r="F138" s="72"/>
      <c r="G138" s="43"/>
      <c r="H138" s="72"/>
      <c r="I138" s="43"/>
      <c r="J138" s="42"/>
      <c r="K138" s="43"/>
      <c r="L138" s="72"/>
      <c r="M138" s="62"/>
      <c r="N138" s="72"/>
      <c r="O138" s="63"/>
      <c r="P138" s="42"/>
      <c r="Q138" s="43"/>
      <c r="R138" s="42"/>
      <c r="S138" s="43"/>
      <c r="T138" s="9"/>
      <c r="U138" s="9"/>
      <c r="V138" s="9"/>
      <c r="W138" s="9"/>
      <c r="X138" s="9"/>
      <c r="Y138" s="10"/>
      <c r="AA138" s="43"/>
    </row>
    <row r="139" spans="1:27" x14ac:dyDescent="0.2">
      <c r="A139" s="8" t="s">
        <v>166</v>
      </c>
      <c r="B139" s="24"/>
      <c r="C139" s="9"/>
      <c r="D139" s="9"/>
      <c r="E139" s="9"/>
      <c r="F139" s="9"/>
      <c r="G139" s="9"/>
      <c r="H139" s="9"/>
      <c r="I139" s="9"/>
      <c r="J139" s="9"/>
      <c r="K139" s="9"/>
      <c r="L139" s="9"/>
      <c r="M139" s="9"/>
      <c r="N139" s="9"/>
      <c r="O139" s="9"/>
      <c r="P139" s="9"/>
      <c r="Q139" s="9"/>
      <c r="R139" s="9"/>
      <c r="S139" s="9"/>
      <c r="T139" s="9"/>
      <c r="U139" s="9"/>
      <c r="V139" s="9"/>
      <c r="W139" s="9"/>
      <c r="X139" s="9"/>
      <c r="Y139" s="10"/>
      <c r="AA139" s="9"/>
    </row>
    <row r="140" spans="1:27" x14ac:dyDescent="0.2">
      <c r="A140" s="8" t="s">
        <v>171</v>
      </c>
      <c r="B140" s="24">
        <f ca="1">D29</f>
        <v>121690.4733810391</v>
      </c>
      <c r="C140" s="9">
        <f ca="1">IF($D$29&lt;=$E$6*0.85,$D$29*$H$9,IF($D$29&lt;=$E$6*5,$E$6*0.85*$H$9+($D$29-0.85*$E$6)*$H$10,$E$6*0.85*$H$9+($E$6*5-$E$6*0.85)*$H$10))</f>
        <v>3926.9695740966254</v>
      </c>
      <c r="D140" s="24">
        <f ca="1">D29</f>
        <v>121690.4733810391</v>
      </c>
      <c r="E140" s="9"/>
      <c r="F140" s="9">
        <f ca="1">D29</f>
        <v>121690.4733810391</v>
      </c>
      <c r="G140" s="9">
        <f ca="1">IF($D$29&lt;=$E$6*0.85,$D$29*$H$9,IF($D$29&lt;=$E$6*5,$E$6*0.85*$H$9+($D$29-0.85*$E$6)*$H$10,$E$6*0.85*$H$9+($E$6*5-$E$6*0.85)*$H$10))</f>
        <v>3926.9695740966254</v>
      </c>
      <c r="H140" s="9">
        <f ca="1">D29</f>
        <v>121690.4733810391</v>
      </c>
      <c r="I140" s="9">
        <f ca="1">IF($D$29&lt;=$E$6*0.85,$D$29*H9,IF($D$29&lt;=$E$6*5,$E$6*0.85*H9+($D$29-0.85*$E$6)*H10,$E$6*0.85*H9+($E$6*5-$E$6*0.85)*H10))</f>
        <v>3926.9695740966254</v>
      </c>
      <c r="J140" s="9">
        <f ca="1">D29</f>
        <v>121690.4733810391</v>
      </c>
      <c r="K140" s="9">
        <f ca="1">IF($D$29&lt;=$E$6*0.85,$D$29*H9,IF($D$29&lt;=$E$6*5,$E$6*0.85*H9+($D$29-0.85*$E$6)*H10,$E$6*0.85*H9+($E$6*5-$E$6*0.85)*H10))</f>
        <v>3926.9695740966254</v>
      </c>
      <c r="L140" s="9">
        <f ca="1">D29</f>
        <v>121690.4733810391</v>
      </c>
      <c r="M140" s="9">
        <f ca="1">IF($D$29&lt;=$E$6*0.85,$D$29*H9,IF($D$29&lt;=$E$6*5,$E$6*0.85*H9+($D$29-0.85*$E$6)*H10,$E$6*0.85*H9+($E$6*5-$E$6*0.85)*H10))</f>
        <v>3926.9695740966254</v>
      </c>
      <c r="N140" s="9">
        <f ca="1">D29</f>
        <v>121690.4733810391</v>
      </c>
      <c r="O140" s="9">
        <f ca="1">IF($D$29&lt;=$E$6*0.85,$D$29*H9,IF($D$29&lt;=$E$6*5,$E$6*0.85*H9+($D$29-0.85*$E$6)*H10,$E$6*0.85*H9+($E$6*5-$E$6*0.85)*H10))</f>
        <v>3926.9695740966254</v>
      </c>
      <c r="P140" s="9">
        <f ca="1">$D$29</f>
        <v>121690.4733810391</v>
      </c>
      <c r="Q140" s="9">
        <f ca="1">IF($D$29&lt;=$E$6*0.85,$D$29*0.086,IF($D$29&lt;=$E$6*5,$E$6*0.85*0.086+($D$29-0.85*$E$6)*0.016,$E$6*0.85*0.086+($E$6*5-$E$6*0.85)*0.016))</f>
        <v>3926.9695740966254</v>
      </c>
      <c r="R140" s="9">
        <f ca="1">D29</f>
        <v>121690.4733810391</v>
      </c>
      <c r="S140" s="9">
        <f ca="1">IF($D$29&lt;=$E$6*0.85,$D$29*$H$9,IF($D$29&lt;=$E$6*5,$E$6*0.85*$H$9+($D$29-0.85*$E$6)*$H$10,$E$6*0.85*$H$9+($E$6*5-$E$6*0.85)*$H$10))</f>
        <v>3926.9695740966254</v>
      </c>
      <c r="T140" s="9">
        <f ca="1">D29</f>
        <v>121690.4733810391</v>
      </c>
      <c r="U140" s="9">
        <f ca="1">IF($D$29&lt;=$E$6*0.85,$D$29*$H$9,IF($D$29&lt;=$E$6*5,$E$6*0.85*$H$9+($D$29-0.85*$E$6)*$H$10,$E$6*0.85*$H$9+($E$6*5-$E$6*0.85)*$H$10))</f>
        <v>3926.9695740966254</v>
      </c>
      <c r="V140" s="9"/>
      <c r="W140" s="9">
        <f ca="1">IF($D$29&lt;=$E$6*0.85,$D$29*$H$9,IF($D$29&lt;=$E$6*5,$E$6*0.85*$H$9+($D$29-0.85*$E$6)*$H$10,$E$6*0.85*$H$9+($E$6*5-$E$6*0.85)*$H$10))</f>
        <v>3926.9695740966254</v>
      </c>
      <c r="X140" s="9"/>
      <c r="Y140" s="10">
        <f ca="1">IF($D$29&lt;=$E$6*0.85,$D$29*$H$9,IF($D$29&lt;=$E$6*5,$E$6*0.85*$H$9+($D$29-0.85*$E$6)*$H$10,$E$6*0.85*$H$9+($E$6*5-$E$6*0.85)*$H$10))</f>
        <v>3926.9695740966254</v>
      </c>
      <c r="AA140" s="9"/>
    </row>
    <row r="141" spans="1:27" x14ac:dyDescent="0.2">
      <c r="A141" s="73" t="s">
        <v>202</v>
      </c>
      <c r="B141" s="9">
        <f ca="1">B29</f>
        <v>121690.4733810391</v>
      </c>
      <c r="C141" s="9">
        <f ca="1">IF($B$29&lt;=$E$6*0.85,$B$29*$H$9,IF($B$29&lt;=$E$6*5,$E$6*0.85*$H$9+($B$29-0.85*$E$6)*$H$10,$E$6*0.85*$H$9+($E$6*5-$E$6*0.85)*$H$10))</f>
        <v>3926.9695740966254</v>
      </c>
      <c r="D141" s="9">
        <f ca="1">B29</f>
        <v>121690.4733810391</v>
      </c>
      <c r="E141" s="9"/>
      <c r="F141" s="9">
        <f ca="1">B29</f>
        <v>121690.4733810391</v>
      </c>
      <c r="G141" s="9">
        <f ca="1">IF($B$29&lt;=$E$6*0.85,$B$29*H9,IF($B$29&lt;=$E$6*5,$E$6*0.85*H9+($B$29-0.85*$E$6)*H10,$E$6*0.85*H9+($E$6*5-$E$6*0.85)*H10))</f>
        <v>3926.9695740966254</v>
      </c>
      <c r="H141" s="9">
        <f ca="1">B29</f>
        <v>121690.4733810391</v>
      </c>
      <c r="I141" s="9">
        <f ca="1">IF($B$29&lt;=$E$6*0.85,$B$29*H9,IF($B$29&lt;=$E$6*5,$E$6*0.85*H9+($B$29-0.85*$E$6)*H10,$E$6*0.85*H9+($E$6*5-$E$6*0.85)*H10))</f>
        <v>3926.9695740966254</v>
      </c>
      <c r="J141" s="9">
        <f ca="1">B29</f>
        <v>121690.4733810391</v>
      </c>
      <c r="K141" s="9">
        <f ca="1">IF($B$29&lt;=$E$6*0.85,$B$29*H9,IF($B$29&lt;=$E$6*5,$E$6*0.85*H9+($B$29-0.85*$E$6)*H10,$E$6*0.85*H9+($E$6*5-$E$6*0.85)*H10))</f>
        <v>3926.9695740966254</v>
      </c>
      <c r="L141" s="9">
        <f ca="1">B29</f>
        <v>121690.4733810391</v>
      </c>
      <c r="M141" s="9">
        <f ca="1">IF($B$29&lt;=$E$6*0.85,$B$29*H9,IF($B$29&lt;=$E$6*5,$E$6*0.85*H9+($B$29-0.85*$E$6)*H10,$E$6*0.85*H9+($E$6*5-$E$6*0.85)*H10))</f>
        <v>3926.9695740966254</v>
      </c>
      <c r="N141" s="9">
        <f ca="1">B29</f>
        <v>121690.4733810391</v>
      </c>
      <c r="O141" s="9">
        <f ca="1">IF($B$29&lt;=$E$6*0.85,$B$29*H9,IF($B$29&lt;=$E$6*5,$E$6*0.85*H9+($B$29-0.85*$E$6)*H10,$E$6*0.85*H9+($E$6*5-$E$6*0.85)*H10))</f>
        <v>3926.9695740966254</v>
      </c>
      <c r="P141" s="9">
        <f ca="1">$B$29</f>
        <v>121690.4733810391</v>
      </c>
      <c r="Q141" s="9">
        <f ca="1">IF($B$29&lt;=$E$6*0.85,$B$29*H9,IF($B$29&lt;=$E$6*5,$E$6*0.85*H9+($B$29-0.85*$E$6)*H10,$E$6*0.85*H9+($E$6*5-$E$6*0.85)*H10))</f>
        <v>3926.9695740966254</v>
      </c>
      <c r="R141" s="9">
        <f ca="1">B29</f>
        <v>121690.4733810391</v>
      </c>
      <c r="S141" s="9">
        <f ca="1">IF($B$29&lt;=$E$6*0.85,$B$29*$H$9,IF($B$29&lt;=$E$6*5,$E$6*0.85*$H$9+($B$29-0.85*$E$6)*$H$10,$E$6*0.85*$H$9+($E$6*5-$E$6*0.85)*$H$10))</f>
        <v>3926.9695740966254</v>
      </c>
      <c r="T141" s="9">
        <f ca="1">B29</f>
        <v>121690.4733810391</v>
      </c>
      <c r="U141" s="9">
        <f ca="1">IF($B$29&lt;=$E$6*0.85,$B$29*$H$9,IF($B$29&lt;=$E$6*5,$E$6*0.85*$H$9+($B$29-0.85*$E$6)*$H$10,$E$6*0.85*$H$9+($E$6*5-$E$6*0.85)*$H$10))</f>
        <v>3926.9695740966254</v>
      </c>
      <c r="V141" s="9"/>
      <c r="W141" s="9">
        <f ca="1">IF($B$29&lt;=$E$6*0.85,$B$29*$H$9,IF($B$29&lt;=$E$6*5,$E$6*0.85*$H$9+($B$29-0.85*$E$6)*$H$10,$E$6*0.85*$H$9+($E$6*5-$E$6*0.85)*$H$10))</f>
        <v>3926.9695740966254</v>
      </c>
      <c r="X141" s="9"/>
      <c r="Y141" s="10">
        <f ca="1">IF($B$29&lt;=$E$6*0.85,$B$29*$H$9,IF($B$29&lt;=$E$6*5,$E$6*0.85*$H$9+($B$29-0.85*$E$6)*$H$10,$E$6*0.85*$H$9+($E$6*5-$E$6*0.85)*$H$10))</f>
        <v>3926.9695740966254</v>
      </c>
      <c r="AA141" s="9"/>
    </row>
    <row r="142" spans="1:27" x14ac:dyDescent="0.2">
      <c r="A142" s="8" t="s">
        <v>172</v>
      </c>
      <c r="B142" s="9"/>
      <c r="C142" s="3">
        <f ca="1">C140-C141</f>
        <v>0</v>
      </c>
      <c r="D142" s="9"/>
      <c r="E142" s="9"/>
      <c r="F142" s="9"/>
      <c r="G142" s="3">
        <f ca="1">G140-G141</f>
        <v>0</v>
      </c>
      <c r="H142" s="9"/>
      <c r="I142" s="3">
        <f ca="1">I140-I141</f>
        <v>0</v>
      </c>
      <c r="J142" s="9"/>
      <c r="K142" s="3">
        <f ca="1">K140-K141</f>
        <v>0</v>
      </c>
      <c r="L142" s="9"/>
      <c r="M142" s="3">
        <f ca="1">M140-M141</f>
        <v>0</v>
      </c>
      <c r="N142" s="9"/>
      <c r="O142" s="3">
        <f ca="1">O140-O141</f>
        <v>0</v>
      </c>
      <c r="P142" s="9"/>
      <c r="Q142" s="3">
        <f ca="1">Q140-Q141</f>
        <v>0</v>
      </c>
      <c r="R142" s="9"/>
      <c r="S142" s="3">
        <f ca="1">S140-S141</f>
        <v>0</v>
      </c>
      <c r="T142" s="9"/>
      <c r="U142" s="9">
        <f ca="1">U140-U141</f>
        <v>0</v>
      </c>
      <c r="V142" s="9"/>
      <c r="W142" s="9">
        <f ca="1">W140-W141</f>
        <v>0</v>
      </c>
      <c r="X142" s="9"/>
      <c r="Y142" s="10">
        <f ca="1">Y140-Y141</f>
        <v>0</v>
      </c>
    </row>
    <row r="143" spans="1:27" x14ac:dyDescent="0.2">
      <c r="A143" s="73"/>
      <c r="B143" s="25"/>
      <c r="D143" s="22"/>
      <c r="E143" s="22"/>
      <c r="F143" s="22"/>
      <c r="G143" s="22"/>
      <c r="H143" s="22"/>
      <c r="I143" s="22"/>
      <c r="J143" s="22"/>
      <c r="K143" s="22"/>
      <c r="L143" s="22"/>
      <c r="M143" s="22"/>
      <c r="N143" s="22"/>
      <c r="O143" s="22"/>
      <c r="P143" s="22"/>
      <c r="Q143" s="22"/>
      <c r="R143" s="22"/>
      <c r="S143" s="22"/>
      <c r="T143" s="22"/>
      <c r="U143" s="9"/>
      <c r="V143" s="9"/>
      <c r="W143" s="9"/>
      <c r="X143" s="9"/>
      <c r="Y143" s="10"/>
      <c r="AA143" s="22"/>
    </row>
    <row r="144" spans="1:27" x14ac:dyDescent="0.2">
      <c r="A144" s="8"/>
      <c r="B144" s="9"/>
      <c r="C144" s="9"/>
      <c r="D144" s="9"/>
      <c r="E144" s="9"/>
      <c r="F144" s="9"/>
      <c r="G144" s="9"/>
      <c r="H144" s="9"/>
      <c r="I144" s="9"/>
      <c r="J144" s="9"/>
      <c r="K144" s="9"/>
      <c r="L144" s="9"/>
      <c r="M144" s="9"/>
      <c r="N144" s="9"/>
      <c r="O144" s="9"/>
      <c r="P144" s="9"/>
      <c r="Q144" s="9"/>
      <c r="R144" s="9"/>
      <c r="S144" s="9"/>
      <c r="T144" s="9"/>
      <c r="U144" s="9"/>
      <c r="V144" s="9"/>
      <c r="W144" s="9"/>
      <c r="X144" s="9"/>
      <c r="Y144" s="10"/>
      <c r="AA144" s="9"/>
    </row>
    <row r="145" spans="1:27" x14ac:dyDescent="0.2">
      <c r="A145" s="23" t="s">
        <v>70</v>
      </c>
      <c r="B145" s="9"/>
      <c r="C145" s="68">
        <f>O24</f>
        <v>76</v>
      </c>
      <c r="D145" s="9"/>
      <c r="E145" s="68">
        <f>$O$3</f>
        <v>137</v>
      </c>
      <c r="F145" s="9"/>
      <c r="G145" s="68">
        <f>$O$10</f>
        <v>654</v>
      </c>
      <c r="H145" s="9"/>
      <c r="I145" s="68">
        <f>$O$14</f>
        <v>1064</v>
      </c>
      <c r="J145" s="9"/>
      <c r="K145" s="68">
        <f ca="1">IF($K$127&lt;=$L$15,$O$15,IF($K$127&lt;=$L$17,$O$17,IF($K$127&lt;=$L$21,$O$21,$O$22)))</f>
        <v>864</v>
      </c>
      <c r="L145" s="9"/>
      <c r="M145" s="68">
        <f>$O$23</f>
        <v>700</v>
      </c>
      <c r="N145" s="9"/>
      <c r="O145" s="68">
        <f>$O$23</f>
        <v>700</v>
      </c>
      <c r="P145" s="9"/>
      <c r="Q145" s="68">
        <f>$O$46</f>
        <v>544</v>
      </c>
      <c r="R145" s="9"/>
      <c r="S145" s="68">
        <f>$O$48</f>
        <v>98</v>
      </c>
      <c r="T145" s="9"/>
      <c r="U145" s="9">
        <f>$O$31</f>
        <v>403</v>
      </c>
      <c r="V145" s="9"/>
      <c r="W145" s="9"/>
      <c r="X145" s="9" t="s">
        <v>256</v>
      </c>
      <c r="Y145" s="10">
        <f>$O$37</f>
        <v>440</v>
      </c>
      <c r="AA145" s="70"/>
    </row>
    <row r="146" spans="1:27" x14ac:dyDescent="0.2">
      <c r="A146" s="23" t="s">
        <v>254</v>
      </c>
      <c r="B146" s="9"/>
      <c r="C146" s="9"/>
      <c r="D146" s="9"/>
      <c r="E146" s="9"/>
      <c r="F146" s="9"/>
      <c r="G146" s="9"/>
      <c r="H146" s="9"/>
      <c r="I146" s="68">
        <f>$Q$14</f>
        <v>222</v>
      </c>
      <c r="J146" s="9"/>
      <c r="K146" s="9"/>
      <c r="L146" s="9"/>
      <c r="M146" s="9"/>
      <c r="N146" s="9"/>
      <c r="O146" s="9"/>
      <c r="P146" s="9"/>
      <c r="Q146" s="9"/>
      <c r="R146" s="9"/>
      <c r="S146" s="9"/>
      <c r="T146" s="9"/>
      <c r="U146" s="9"/>
      <c r="V146" s="9"/>
      <c r="W146" s="9"/>
      <c r="X146" s="9"/>
      <c r="Y146" s="10"/>
      <c r="AA146" s="9"/>
    </row>
    <row r="147" spans="1:27" x14ac:dyDescent="0.2">
      <c r="A147" s="23" t="s">
        <v>255</v>
      </c>
      <c r="B147" s="9"/>
      <c r="C147" s="9"/>
      <c r="D147" s="9"/>
      <c r="E147" s="9"/>
      <c r="F147" s="9"/>
      <c r="G147" s="9">
        <f>$Q$10</f>
        <v>180</v>
      </c>
      <c r="H147" s="9"/>
      <c r="I147" s="68">
        <f>$S$14</f>
        <v>1300</v>
      </c>
      <c r="J147" s="9"/>
      <c r="K147" s="9"/>
      <c r="L147" s="9"/>
      <c r="M147" s="68">
        <f>$S$23</f>
        <v>1380</v>
      </c>
      <c r="N147" s="9"/>
      <c r="O147" s="68">
        <f>S$24</f>
        <v>4140</v>
      </c>
      <c r="P147" s="9"/>
      <c r="Q147" s="9">
        <f>$S$46</f>
        <v>438</v>
      </c>
      <c r="R147" s="9"/>
      <c r="S147" s="68">
        <f>$S$48</f>
        <v>229</v>
      </c>
      <c r="T147" s="9"/>
      <c r="U147" s="9"/>
      <c r="V147" s="9"/>
      <c r="W147" s="9"/>
      <c r="X147" s="9"/>
      <c r="Y147" s="10"/>
      <c r="AA147" s="9"/>
    </row>
    <row r="148" spans="1:27" x14ac:dyDescent="0.2">
      <c r="A148" s="23" t="s">
        <v>283</v>
      </c>
      <c r="B148" s="9"/>
      <c r="C148" s="9"/>
      <c r="D148" s="9"/>
      <c r="E148" s="9"/>
      <c r="F148" s="9"/>
      <c r="G148" s="9"/>
      <c r="H148" s="9"/>
      <c r="I148" s="9">
        <f ca="1">IF(D29&lt;E3*5,D29*0.375%,E3*5*0.375%)</f>
        <v>456.33927517889663</v>
      </c>
      <c r="J148" s="9"/>
      <c r="K148" s="9"/>
      <c r="L148" s="9"/>
      <c r="M148" s="9"/>
      <c r="N148" s="9"/>
      <c r="O148" s="9"/>
      <c r="P148" s="9"/>
      <c r="Q148" s="9">
        <f ca="1">IF($D$29&lt;$E$3*5,$D$29*$S$47,$E$3*5*$S$47)</f>
        <v>182.53571007155867</v>
      </c>
      <c r="R148" s="9"/>
      <c r="S148" s="9"/>
      <c r="T148" s="9"/>
      <c r="U148" s="9"/>
      <c r="V148" s="9"/>
      <c r="W148" s="9"/>
      <c r="X148" s="9"/>
      <c r="Y148" s="10"/>
      <c r="AA148" s="9"/>
    </row>
    <row r="149" spans="1:27" x14ac:dyDescent="0.2">
      <c r="A149" s="23" t="s">
        <v>72</v>
      </c>
      <c r="B149" s="9" t="s">
        <v>73</v>
      </c>
      <c r="C149" s="9"/>
      <c r="D149" s="9"/>
      <c r="E149" s="9"/>
      <c r="F149" s="9"/>
      <c r="G149" s="68"/>
      <c r="H149" s="9"/>
      <c r="I149" s="9"/>
      <c r="J149" s="9"/>
      <c r="K149" s="9"/>
      <c r="L149" s="9"/>
      <c r="M149" s="9"/>
      <c r="N149" s="9"/>
      <c r="O149" s="9"/>
      <c r="P149" s="9"/>
      <c r="Q149" s="9"/>
      <c r="R149" s="9"/>
      <c r="S149" s="9"/>
      <c r="T149" s="9"/>
      <c r="U149" s="9"/>
      <c r="V149" s="9"/>
      <c r="W149" s="9"/>
      <c r="X149" s="9"/>
      <c r="Y149" s="10"/>
      <c r="AA149" s="9"/>
    </row>
    <row r="150" spans="1:27" x14ac:dyDescent="0.2">
      <c r="A150" s="8"/>
      <c r="B150" s="9"/>
      <c r="C150" s="9"/>
      <c r="D150" s="9"/>
      <c r="E150" s="9"/>
      <c r="F150" s="9"/>
      <c r="G150" s="9"/>
      <c r="H150" s="9"/>
      <c r="I150" s="9"/>
      <c r="J150" s="9"/>
      <c r="K150" s="9"/>
      <c r="L150" s="9"/>
      <c r="M150" s="9"/>
      <c r="N150" s="9"/>
      <c r="O150" s="9"/>
      <c r="P150" s="9"/>
      <c r="Q150" s="9"/>
      <c r="R150" s="9"/>
      <c r="S150" s="9"/>
      <c r="T150" s="9"/>
      <c r="U150" s="9"/>
      <c r="V150" s="9"/>
      <c r="W150" s="9"/>
      <c r="X150" s="9"/>
      <c r="Y150" s="10"/>
      <c r="AA150" s="9"/>
    </row>
    <row r="151" spans="1:27" x14ac:dyDescent="0.2">
      <c r="A151" s="8"/>
      <c r="B151" s="9"/>
      <c r="C151" s="9"/>
      <c r="D151" s="9"/>
      <c r="E151" s="9"/>
      <c r="F151" s="9"/>
      <c r="G151" s="9"/>
      <c r="H151" s="9"/>
      <c r="I151" s="9"/>
      <c r="J151" s="9"/>
      <c r="K151" s="9"/>
      <c r="L151" s="9"/>
      <c r="M151" s="9"/>
      <c r="N151" s="9"/>
      <c r="O151" s="9"/>
      <c r="P151" s="9"/>
      <c r="Q151" s="9"/>
      <c r="R151" s="9"/>
      <c r="S151" s="9"/>
      <c r="T151" s="9"/>
      <c r="U151" s="9"/>
      <c r="V151" s="9"/>
      <c r="W151" s="9"/>
      <c r="X151" s="9"/>
      <c r="Y151" s="10"/>
      <c r="AA151" s="9"/>
    </row>
    <row r="152" spans="1:27" x14ac:dyDescent="0.2">
      <c r="A152" s="8"/>
      <c r="B152" s="9"/>
      <c r="C152" s="9"/>
      <c r="D152" s="9"/>
      <c r="E152" s="9"/>
      <c r="F152" s="9"/>
      <c r="G152" s="9"/>
      <c r="H152" s="9"/>
      <c r="I152" s="9"/>
      <c r="J152" s="9"/>
      <c r="K152" s="9"/>
      <c r="L152" s="9"/>
      <c r="M152" s="9"/>
      <c r="N152" s="9"/>
      <c r="O152" s="9"/>
      <c r="P152" s="9"/>
      <c r="Q152" s="9"/>
      <c r="R152" s="9"/>
      <c r="S152" s="9"/>
      <c r="T152" s="9"/>
      <c r="U152" s="9"/>
      <c r="V152" s="9"/>
      <c r="W152" s="9"/>
      <c r="X152" s="9"/>
      <c r="Y152" s="10"/>
      <c r="AA152" s="9"/>
    </row>
    <row r="153" spans="1:27" x14ac:dyDescent="0.2">
      <c r="A153" s="8" t="s">
        <v>71</v>
      </c>
      <c r="B153" s="9"/>
      <c r="C153" s="9"/>
      <c r="D153" s="9"/>
      <c r="E153" s="9"/>
      <c r="F153" s="9"/>
      <c r="G153" s="9"/>
      <c r="H153" s="9"/>
      <c r="I153" s="9"/>
      <c r="J153" s="9"/>
      <c r="K153" s="9"/>
      <c r="L153" s="65"/>
      <c r="M153" s="68">
        <f ca="1">$M$127*$H$16</f>
        <v>42.591665683363686</v>
      </c>
      <c r="N153" s="66"/>
      <c r="O153" s="68">
        <f ca="1">$O$127*$H$16</f>
        <v>42.591665683363686</v>
      </c>
      <c r="P153" s="9"/>
      <c r="Q153" s="9"/>
      <c r="R153" s="9"/>
      <c r="S153" s="9"/>
      <c r="T153" s="9"/>
      <c r="U153" s="9"/>
      <c r="V153" s="9"/>
      <c r="W153" s="9"/>
      <c r="X153" s="9"/>
      <c r="Y153" s="10"/>
      <c r="AA153" s="9"/>
    </row>
    <row r="154" spans="1:27" x14ac:dyDescent="0.2">
      <c r="A154" s="8"/>
      <c r="B154" s="9"/>
      <c r="C154" s="9"/>
      <c r="D154" s="9"/>
      <c r="E154" s="9"/>
      <c r="F154" s="9"/>
      <c r="G154" s="9"/>
      <c r="H154" s="9"/>
      <c r="I154" s="9"/>
      <c r="J154" s="9"/>
      <c r="K154" s="9"/>
      <c r="L154" s="9"/>
      <c r="M154" s="9"/>
      <c r="N154" s="9"/>
      <c r="O154" s="9"/>
      <c r="P154" s="9"/>
      <c r="Q154" s="9"/>
      <c r="R154" s="9"/>
      <c r="S154" s="9"/>
      <c r="T154" s="9"/>
      <c r="U154" s="9"/>
      <c r="V154" s="9"/>
      <c r="W154" s="9"/>
      <c r="X154" s="9"/>
      <c r="Y154" s="10"/>
      <c r="AA154" s="9"/>
    </row>
    <row r="155" spans="1:27" x14ac:dyDescent="0.2">
      <c r="A155" s="8" t="s">
        <v>44</v>
      </c>
      <c r="B155" s="9"/>
      <c r="C155" s="9">
        <f ca="1">SUM(C130:C153)-(C140+C141)</f>
        <v>15046.491574096628</v>
      </c>
      <c r="D155" s="9"/>
      <c r="E155" s="9">
        <f ca="1">SUM(E130:E153)-(E140+E141)</f>
        <v>10376.556911921414</v>
      </c>
      <c r="F155" s="9"/>
      <c r="G155" s="9">
        <f ca="1">SUM(G130:G153)-(G140+G141)</f>
        <v>8977.8257755277991</v>
      </c>
      <c r="H155" s="9"/>
      <c r="I155" s="9">
        <f ca="1">SUM(I130:I153)-(I140+I141)</f>
        <v>17994.678187379432</v>
      </c>
      <c r="J155" s="9"/>
      <c r="K155" s="9">
        <f ca="1">SUM(K130:K153)-(K140+K141)</f>
        <v>17862.491574096628</v>
      </c>
      <c r="L155" s="9"/>
      <c r="M155" s="9">
        <f ca="1">SUM(M130:M153)-(M140+M141)</f>
        <v>17368.606790835587</v>
      </c>
      <c r="N155" s="9"/>
      <c r="O155" s="9">
        <f ca="1">SUM(O130:O153)-(O140+O141)</f>
        <v>20128.606790835587</v>
      </c>
      <c r="P155" s="9"/>
      <c r="Q155" s="9">
        <f ca="1">SUM(Q130:Q153)-(Q140+Q141)</f>
        <v>10095.027284168184</v>
      </c>
      <c r="R155" s="9"/>
      <c r="S155" s="9">
        <f ca="1">SUM(S130:S153)-(S140+S141)</f>
        <v>15279.338912200536</v>
      </c>
      <c r="T155" s="9"/>
      <c r="U155" s="9">
        <f ca="1">SUM(U130:U153)-(U140+U141)</f>
        <v>14115.491574096628</v>
      </c>
      <c r="V155" s="9"/>
      <c r="W155" s="9">
        <f ca="1">SUM(W130:W153)-(W140+W141)</f>
        <v>15741.491574096628</v>
      </c>
      <c r="X155" s="9"/>
      <c r="Y155" s="9">
        <f ca="1">SUM(Y130:Y153)-(Y140+Y141)</f>
        <v>16250.491574096628</v>
      </c>
      <c r="AA155" s="9"/>
    </row>
    <row r="156" spans="1:27" x14ac:dyDescent="0.2">
      <c r="A156" s="8"/>
      <c r="B156" s="9"/>
      <c r="C156" s="9"/>
      <c r="D156" s="9"/>
      <c r="E156" s="9"/>
      <c r="F156" s="9"/>
      <c r="G156" s="9"/>
      <c r="H156" s="9"/>
      <c r="I156" s="9"/>
      <c r="J156" s="9"/>
      <c r="K156" s="9"/>
      <c r="L156" s="9"/>
      <c r="M156" s="9"/>
      <c r="N156" s="9"/>
      <c r="O156" s="9"/>
      <c r="P156" s="9"/>
      <c r="Q156" s="9"/>
      <c r="R156" s="9"/>
      <c r="S156" s="9"/>
      <c r="T156" s="9"/>
      <c r="U156" s="9"/>
      <c r="V156" s="9"/>
      <c r="W156" s="9"/>
      <c r="X156" s="9"/>
      <c r="Y156" s="10"/>
      <c r="AA156" s="9"/>
    </row>
    <row r="157" spans="1:27" ht="13.5" thickBot="1" x14ac:dyDescent="0.25">
      <c r="A157" s="12"/>
      <c r="B157" s="13"/>
      <c r="C157" s="13"/>
      <c r="D157" s="13"/>
      <c r="E157" s="13"/>
      <c r="F157" s="13"/>
      <c r="G157" s="13"/>
      <c r="H157" s="13"/>
      <c r="I157" s="13"/>
      <c r="J157" s="13"/>
      <c r="K157" s="13"/>
      <c r="L157" s="13"/>
      <c r="M157" s="13"/>
      <c r="N157" s="13"/>
      <c r="O157" s="13"/>
      <c r="P157" s="13"/>
      <c r="Q157" s="13"/>
      <c r="R157" s="13"/>
      <c r="S157" s="13"/>
      <c r="T157" s="13"/>
      <c r="U157" s="13"/>
      <c r="V157" s="13"/>
      <c r="W157" s="13"/>
      <c r="X157" s="13"/>
      <c r="Y157" s="14"/>
      <c r="AA157" s="13"/>
    </row>
    <row r="158" spans="1:27" x14ac:dyDescent="0.2">
      <c r="A158" s="26"/>
      <c r="B158" s="26" t="s">
        <v>75</v>
      </c>
      <c r="C158" s="26"/>
      <c r="D158" s="26"/>
      <c r="E158" s="26"/>
      <c r="F158" s="9"/>
    </row>
    <row r="159" spans="1:27" x14ac:dyDescent="0.2">
      <c r="A159" s="26"/>
      <c r="B159" s="26"/>
      <c r="C159" s="26"/>
      <c r="D159" s="26"/>
      <c r="E159" s="26"/>
      <c r="F159" s="9"/>
    </row>
    <row r="160" spans="1:27" ht="25.5" x14ac:dyDescent="0.2">
      <c r="A160" s="9"/>
      <c r="B160" s="26" t="s">
        <v>124</v>
      </c>
      <c r="C160" s="27" t="s">
        <v>84</v>
      </c>
      <c r="D160" s="26" t="s">
        <v>122</v>
      </c>
      <c r="E160" s="44" t="s">
        <v>123</v>
      </c>
      <c r="F160" s="9"/>
    </row>
    <row r="161" spans="1:7" x14ac:dyDescent="0.2">
      <c r="B161" s="3" t="s">
        <v>165</v>
      </c>
      <c r="C161" s="3">
        <f ca="1">C29</f>
        <v>121690.4733810391</v>
      </c>
      <c r="D161" s="9">
        <f>E6</f>
        <v>33276</v>
      </c>
      <c r="E161" s="3">
        <f>D161*5</f>
        <v>166380</v>
      </c>
    </row>
    <row r="162" spans="1:7" x14ac:dyDescent="0.2">
      <c r="A162" s="9"/>
      <c r="B162" s="9" t="s">
        <v>93</v>
      </c>
      <c r="C162" s="9">
        <f ca="1">D29</f>
        <v>121690.4733810391</v>
      </c>
      <c r="D162" s="9">
        <f>E5</f>
        <v>34308</v>
      </c>
      <c r="E162" s="9">
        <f>D162*5</f>
        <v>171540</v>
      </c>
      <c r="F162" s="9"/>
    </row>
    <row r="163" spans="1:7" x14ac:dyDescent="0.2">
      <c r="A163" s="9"/>
      <c r="B163" s="9" t="s">
        <v>47</v>
      </c>
      <c r="C163" s="9">
        <f ca="1">E29</f>
        <v>121690.4733810391</v>
      </c>
      <c r="D163" s="9">
        <f>E4</f>
        <v>34620</v>
      </c>
      <c r="E163" s="9">
        <f>D163*5</f>
        <v>173100</v>
      </c>
      <c r="F163" s="9"/>
    </row>
    <row r="164" spans="1:7" x14ac:dyDescent="0.2">
      <c r="A164" s="9"/>
      <c r="B164" s="9" t="s">
        <v>48</v>
      </c>
      <c r="C164" s="9">
        <f ca="1">F29</f>
        <v>121690.4733810391</v>
      </c>
      <c r="D164" s="3">
        <f>E3</f>
        <v>35352</v>
      </c>
      <c r="E164" s="9">
        <f>D164*5</f>
        <v>176760</v>
      </c>
      <c r="F164" s="9"/>
      <c r="G164" s="16"/>
    </row>
    <row r="165" spans="1:7" x14ac:dyDescent="0.2">
      <c r="A165" s="9"/>
      <c r="B165" s="9"/>
      <c r="C165" s="9"/>
      <c r="D165" s="9"/>
      <c r="E165" s="9"/>
      <c r="F165" s="9"/>
    </row>
    <row r="166" spans="1:7" x14ac:dyDescent="0.2">
      <c r="A166" s="9"/>
      <c r="B166" s="9"/>
      <c r="C166" s="9"/>
      <c r="D166" s="9"/>
      <c r="E166" s="9"/>
      <c r="F166" s="9"/>
    </row>
    <row r="167" spans="1:7" x14ac:dyDescent="0.2">
      <c r="A167" s="9"/>
      <c r="B167" s="9"/>
      <c r="C167" s="9"/>
      <c r="D167" s="9"/>
      <c r="E167" s="9"/>
      <c r="F167" s="9"/>
    </row>
    <row r="168" spans="1:7" x14ac:dyDescent="0.2">
      <c r="A168" s="9" t="s">
        <v>76</v>
      </c>
      <c r="B168" s="9"/>
      <c r="C168" s="9" t="s">
        <v>79</v>
      </c>
      <c r="D168" s="9"/>
      <c r="E168" s="9" t="s">
        <v>78</v>
      </c>
      <c r="F168" s="9"/>
    </row>
    <row r="169" spans="1:7" x14ac:dyDescent="0.2">
      <c r="A169" s="9"/>
      <c r="B169" s="9" t="s">
        <v>77</v>
      </c>
      <c r="C169" s="9">
        <f ca="1">IF(C162&lt;D163,C162,D163)</f>
        <v>34620</v>
      </c>
      <c r="D169" s="48">
        <f>H17</f>
        <v>6.0000000000000001E-3</v>
      </c>
      <c r="E169" s="9">
        <f ca="1">C169*D169*183/365</f>
        <v>104.14454794520549</v>
      </c>
      <c r="F169" s="9" t="s">
        <v>168</v>
      </c>
    </row>
    <row r="170" spans="1:7" x14ac:dyDescent="0.2">
      <c r="A170" s="9"/>
      <c r="B170" s="9" t="s">
        <v>85</v>
      </c>
      <c r="C170" s="9">
        <f ca="1">IF(C162&lt;E164,C162,E164)</f>
        <v>121690.4733810391</v>
      </c>
      <c r="D170" s="48">
        <f>H18</f>
        <v>5.8999999999999997E-2</v>
      </c>
      <c r="E170" s="9">
        <f ca="1">C170*D170*183/365</f>
        <v>3599.704222178299</v>
      </c>
      <c r="F170" s="9" t="s">
        <v>168</v>
      </c>
    </row>
    <row r="171" spans="1:7" x14ac:dyDescent="0.2">
      <c r="A171" s="9"/>
      <c r="B171" s="9"/>
      <c r="C171" s="9"/>
      <c r="D171" s="9" t="s">
        <v>81</v>
      </c>
      <c r="E171" s="9">
        <f ca="1">SUM(E169:E170)</f>
        <v>3703.8487701235044</v>
      </c>
      <c r="F171" s="9"/>
    </row>
    <row r="172" spans="1:7" x14ac:dyDescent="0.2">
      <c r="A172" s="9"/>
      <c r="B172" s="9"/>
      <c r="C172" s="9"/>
      <c r="D172" s="9"/>
      <c r="E172" s="9"/>
      <c r="F172" s="9"/>
    </row>
    <row r="173" spans="1:7" x14ac:dyDescent="0.2">
      <c r="A173" s="9" t="s">
        <v>80</v>
      </c>
      <c r="B173" s="9"/>
      <c r="C173" s="9"/>
      <c r="D173" s="9"/>
      <c r="E173" s="9"/>
      <c r="F173" s="9"/>
    </row>
    <row r="174" spans="1:7" x14ac:dyDescent="0.2">
      <c r="A174" s="9"/>
      <c r="B174" s="9"/>
      <c r="C174" s="9"/>
      <c r="D174" s="9"/>
      <c r="E174" s="9"/>
      <c r="F174" s="9"/>
    </row>
    <row r="175" spans="1:7" x14ac:dyDescent="0.2">
      <c r="A175" s="9" t="s">
        <v>132</v>
      </c>
      <c r="B175" s="9" t="s">
        <v>77</v>
      </c>
      <c r="C175" s="9">
        <f ca="1">IF(C163&lt;D175,C163,D163)</f>
        <v>34620</v>
      </c>
      <c r="D175" s="48">
        <f>H17</f>
        <v>6.0000000000000001E-3</v>
      </c>
      <c r="E175" s="9">
        <f ca="1">C175*D175</f>
        <v>207.72</v>
      </c>
      <c r="F175" s="9"/>
    </row>
    <row r="176" spans="1:7" x14ac:dyDescent="0.2">
      <c r="A176" s="9"/>
      <c r="B176" s="9" t="s">
        <v>86</v>
      </c>
      <c r="C176" s="9">
        <f ca="1">IF(C163&lt;E163,C163,E163)</f>
        <v>121690.4733810391</v>
      </c>
      <c r="D176" s="48">
        <f>H18</f>
        <v>5.8999999999999997E-2</v>
      </c>
      <c r="E176" s="9">
        <f ca="1">C176*D176</f>
        <v>7179.7379294813072</v>
      </c>
      <c r="F176" s="9"/>
    </row>
    <row r="177" spans="1:7" x14ac:dyDescent="0.2">
      <c r="A177" s="9"/>
      <c r="B177" s="9"/>
      <c r="C177" s="9"/>
      <c r="D177" s="9" t="s">
        <v>81</v>
      </c>
      <c r="E177" s="9">
        <f ca="1">SUM($E$175:$E$176)</f>
        <v>7387.4579294813075</v>
      </c>
      <c r="F177" s="9"/>
    </row>
    <row r="178" spans="1:7" x14ac:dyDescent="0.2">
      <c r="A178" s="9"/>
      <c r="B178" s="9"/>
      <c r="C178" s="9"/>
      <c r="D178" s="9"/>
      <c r="E178" s="9"/>
      <c r="F178" s="9"/>
    </row>
    <row r="179" spans="1:7" x14ac:dyDescent="0.2">
      <c r="A179" s="9" t="s">
        <v>133</v>
      </c>
      <c r="B179" s="9"/>
      <c r="C179" s="9"/>
      <c r="D179" s="9"/>
      <c r="E179" s="9">
        <f ca="1">IF(C161&lt;=D163,C161*(D175+D176),IF(C161&lt;E163,D163*H17+C161*H18,D163*H17+E163*H18))</f>
        <v>7387.4579294813075</v>
      </c>
      <c r="F179" s="9"/>
    </row>
    <row r="180" spans="1:7" x14ac:dyDescent="0.2">
      <c r="A180" s="9"/>
      <c r="B180" s="9"/>
      <c r="C180" s="9"/>
      <c r="D180" s="9"/>
      <c r="E180" s="9"/>
      <c r="F180" s="9"/>
    </row>
    <row r="181" spans="1:7" x14ac:dyDescent="0.2">
      <c r="A181" s="9" t="s">
        <v>134</v>
      </c>
      <c r="B181" s="9"/>
      <c r="C181" s="9"/>
      <c r="D181" s="9"/>
      <c r="E181" s="9">
        <f ca="1">E177-E179</f>
        <v>0</v>
      </c>
      <c r="F181" s="9"/>
    </row>
    <row r="182" spans="1:7" x14ac:dyDescent="0.2">
      <c r="A182" s="9"/>
      <c r="B182" s="9"/>
      <c r="C182" s="9"/>
      <c r="D182" s="9"/>
      <c r="E182" s="9"/>
      <c r="F182" s="9"/>
    </row>
    <row r="183" spans="1:7" x14ac:dyDescent="0.2">
      <c r="A183" s="9"/>
      <c r="B183" s="9"/>
      <c r="C183" s="9"/>
      <c r="D183" s="9"/>
      <c r="E183" s="9"/>
      <c r="F183" s="9"/>
    </row>
    <row r="184" spans="1:7" x14ac:dyDescent="0.2">
      <c r="A184" s="9" t="s">
        <v>143</v>
      </c>
      <c r="B184" s="9" t="s">
        <v>77</v>
      </c>
      <c r="C184" s="9">
        <f ca="1">IF(C162&lt;D164,C162,D164)</f>
        <v>35352</v>
      </c>
      <c r="D184" s="48">
        <f>H17</f>
        <v>6.0000000000000001E-3</v>
      </c>
      <c r="E184" s="9">
        <f ca="1">C184*D184</f>
        <v>212.11199999999999</v>
      </c>
      <c r="F184" s="9"/>
    </row>
    <row r="185" spans="1:7" x14ac:dyDescent="0.2">
      <c r="A185" s="9"/>
      <c r="B185" s="9" t="s">
        <v>85</v>
      </c>
      <c r="C185" s="9">
        <f ca="1">IF(C162&lt;E164,C162,E164)</f>
        <v>121690.4733810391</v>
      </c>
      <c r="D185" s="48">
        <f>H18</f>
        <v>5.8999999999999997E-2</v>
      </c>
      <c r="E185" s="9">
        <f ca="1">C185*D185</f>
        <v>7179.7379294813072</v>
      </c>
      <c r="F185" s="9"/>
    </row>
    <row r="186" spans="1:7" x14ac:dyDescent="0.2">
      <c r="A186" s="9"/>
      <c r="B186" s="9"/>
      <c r="C186" s="9"/>
      <c r="D186" s="9" t="s">
        <v>81</v>
      </c>
      <c r="E186" s="9">
        <f ca="1">SUM(E184:E185)</f>
        <v>7391.8499294813073</v>
      </c>
      <c r="F186" s="9"/>
    </row>
    <row r="187" spans="1:7" x14ac:dyDescent="0.2">
      <c r="A187" s="9"/>
      <c r="B187" s="9"/>
      <c r="C187" s="9"/>
      <c r="D187" s="9"/>
      <c r="E187" s="9"/>
      <c r="F187" s="9"/>
    </row>
    <row r="188" spans="1:7" x14ac:dyDescent="0.2">
      <c r="A188" s="9" t="s">
        <v>135</v>
      </c>
      <c r="B188" s="9"/>
      <c r="C188" s="9" t="s">
        <v>82</v>
      </c>
      <c r="D188" s="9"/>
      <c r="E188" s="9">
        <f ca="1">-E171</f>
        <v>-3703.8487701235044</v>
      </c>
      <c r="F188" s="9"/>
      <c r="G188" s="9"/>
    </row>
    <row r="189" spans="1:7" x14ac:dyDescent="0.2">
      <c r="A189" s="9"/>
      <c r="B189" s="9"/>
      <c r="C189" s="9"/>
      <c r="D189" s="9" t="s">
        <v>87</v>
      </c>
      <c r="E189" s="9">
        <f ca="1">E186+E188</f>
        <v>3688.0011593578029</v>
      </c>
      <c r="F189" s="9"/>
    </row>
    <row r="190" spans="1:7" x14ac:dyDescent="0.2">
      <c r="A190" s="9"/>
      <c r="B190" s="9"/>
      <c r="C190" s="9"/>
      <c r="D190" s="9" t="s">
        <v>80</v>
      </c>
      <c r="E190" s="9">
        <f ca="1">E189+E181</f>
        <v>3688.0011593578029</v>
      </c>
      <c r="F190" s="9"/>
    </row>
    <row r="191" spans="1:7" x14ac:dyDescent="0.2">
      <c r="A191" s="9"/>
      <c r="B191" s="9"/>
      <c r="C191" s="9"/>
      <c r="D191" s="9"/>
      <c r="E191" s="9"/>
      <c r="F191" s="9"/>
    </row>
    <row r="192" spans="1:7" x14ac:dyDescent="0.2">
      <c r="A192" s="9"/>
      <c r="B192" s="9"/>
      <c r="C192" s="17" t="s">
        <v>83</v>
      </c>
      <c r="D192" s="9"/>
      <c r="E192" s="9">
        <f ca="1">E171+E190</f>
        <v>7391.8499294813073</v>
      </c>
      <c r="F192" s="9"/>
    </row>
    <row r="193" spans="1:7" x14ac:dyDescent="0.2">
      <c r="A193" s="9"/>
      <c r="B193" s="9"/>
      <c r="C193" s="9"/>
      <c r="D193" s="9"/>
      <c r="E193" s="9"/>
      <c r="F193" s="9"/>
    </row>
    <row r="194" spans="1:7" x14ac:dyDescent="0.2">
      <c r="A194" s="9"/>
      <c r="B194" s="9"/>
      <c r="C194" s="9"/>
      <c r="D194" s="9"/>
      <c r="E194" s="9"/>
      <c r="F194" s="9"/>
    </row>
    <row r="195" spans="1:7" x14ac:dyDescent="0.2">
      <c r="A195" s="9"/>
      <c r="B195" s="9"/>
      <c r="C195" s="9"/>
      <c r="D195" s="9"/>
      <c r="E195" s="9"/>
      <c r="F195" s="9"/>
    </row>
    <row r="196" spans="1:7" x14ac:dyDescent="0.2">
      <c r="A196" s="74" t="s">
        <v>178</v>
      </c>
      <c r="B196" s="75"/>
      <c r="C196" s="75"/>
      <c r="D196" s="75"/>
      <c r="E196" s="76"/>
      <c r="F196" s="9"/>
    </row>
    <row r="197" spans="1:7" x14ac:dyDescent="0.2">
      <c r="A197" s="77"/>
      <c r="B197" s="26"/>
      <c r="C197" s="26"/>
      <c r="D197" s="26"/>
      <c r="E197" s="78"/>
      <c r="F197" s="9"/>
    </row>
    <row r="198" spans="1:7" x14ac:dyDescent="0.2">
      <c r="A198" s="77"/>
      <c r="B198" s="26"/>
      <c r="C198" s="26"/>
      <c r="D198" s="26"/>
      <c r="E198" s="78"/>
      <c r="F198" s="9"/>
    </row>
    <row r="199" spans="1:7" x14ac:dyDescent="0.2">
      <c r="A199" s="40"/>
      <c r="B199" s="9"/>
      <c r="C199" s="9"/>
      <c r="D199" s="9"/>
      <c r="E199" s="41"/>
      <c r="F199" s="9"/>
    </row>
    <row r="200" spans="1:7" x14ac:dyDescent="0.2">
      <c r="A200" s="40" t="s">
        <v>136</v>
      </c>
      <c r="B200" s="9" t="s">
        <v>146</v>
      </c>
      <c r="C200" s="9"/>
      <c r="D200" s="9"/>
      <c r="E200" s="79">
        <f ca="1">D29</f>
        <v>121690.4733810391</v>
      </c>
      <c r="F200" s="9"/>
    </row>
    <row r="201" spans="1:7" x14ac:dyDescent="0.2">
      <c r="A201" s="40"/>
      <c r="B201" s="9"/>
      <c r="C201" s="9"/>
      <c r="D201" s="9"/>
      <c r="E201" s="41"/>
      <c r="F201" s="9"/>
    </row>
    <row r="202" spans="1:7" x14ac:dyDescent="0.2">
      <c r="A202" s="40" t="s">
        <v>137</v>
      </c>
      <c r="B202" s="9" t="s">
        <v>147</v>
      </c>
      <c r="C202" s="9"/>
      <c r="D202" s="9"/>
      <c r="E202" s="41"/>
      <c r="F202" s="9"/>
    </row>
    <row r="203" spans="1:7" x14ac:dyDescent="0.2">
      <c r="A203" s="40"/>
      <c r="B203" s="9"/>
      <c r="C203" s="9"/>
      <c r="D203" s="9"/>
      <c r="E203" s="41"/>
      <c r="F203" s="9"/>
    </row>
    <row r="204" spans="1:7" s="16" customFormat="1" x14ac:dyDescent="0.2">
      <c r="A204" s="40" t="s">
        <v>138</v>
      </c>
      <c r="B204" s="9" t="s">
        <v>139</v>
      </c>
      <c r="C204" s="9"/>
      <c r="D204" s="9"/>
      <c r="E204" s="41"/>
      <c r="F204" s="9"/>
      <c r="G204" s="3"/>
    </row>
    <row r="205" spans="1:7" x14ac:dyDescent="0.2">
      <c r="A205" s="40"/>
      <c r="B205" s="9"/>
      <c r="C205" s="9"/>
      <c r="D205" s="9"/>
      <c r="E205" s="41"/>
      <c r="F205" s="9"/>
    </row>
    <row r="206" spans="1:7" x14ac:dyDescent="0.2">
      <c r="A206" s="40"/>
      <c r="B206" s="9"/>
      <c r="C206" s="9"/>
      <c r="D206" s="9"/>
      <c r="E206" s="41"/>
      <c r="F206" s="9"/>
    </row>
    <row r="207" spans="1:7" x14ac:dyDescent="0.2">
      <c r="A207" s="40" t="s">
        <v>140</v>
      </c>
      <c r="B207" s="9"/>
      <c r="C207" s="9"/>
      <c r="D207" s="9"/>
      <c r="E207" s="79">
        <f ca="1">E200*H19</f>
        <v>133.85952071914303</v>
      </c>
      <c r="F207" s="9"/>
    </row>
    <row r="208" spans="1:7" ht="41.25" customHeight="1" x14ac:dyDescent="0.2">
      <c r="A208" s="40"/>
      <c r="B208" s="9"/>
      <c r="C208" s="9"/>
      <c r="D208" s="9"/>
      <c r="E208" s="79"/>
      <c r="F208" s="9"/>
    </row>
    <row r="209" spans="1:6" x14ac:dyDescent="0.2">
      <c r="A209" s="40" t="s">
        <v>141</v>
      </c>
      <c r="B209" s="9"/>
      <c r="C209" s="9"/>
      <c r="D209" s="9" t="s">
        <v>159</v>
      </c>
      <c r="E209" s="79">
        <f ca="1">E207/4</f>
        <v>33.464880179785759</v>
      </c>
      <c r="F209" s="9"/>
    </row>
    <row r="210" spans="1:6" x14ac:dyDescent="0.2">
      <c r="A210" s="40"/>
      <c r="B210" s="9"/>
      <c r="C210" s="9"/>
      <c r="D210" s="9" t="s">
        <v>160</v>
      </c>
      <c r="E210" s="79">
        <f ca="1">E207/4</f>
        <v>33.464880179785759</v>
      </c>
      <c r="F210" s="9"/>
    </row>
    <row r="211" spans="1:6" x14ac:dyDescent="0.2">
      <c r="A211" s="40"/>
      <c r="B211" s="9"/>
      <c r="C211" s="9"/>
      <c r="D211" s="9" t="s">
        <v>161</v>
      </c>
      <c r="E211" s="79">
        <f ca="1">E207/4</f>
        <v>33.464880179785759</v>
      </c>
      <c r="F211" s="9"/>
    </row>
    <row r="212" spans="1:6" x14ac:dyDescent="0.2">
      <c r="A212" s="42"/>
      <c r="B212" s="80"/>
      <c r="C212" s="80"/>
      <c r="D212" s="80" t="s">
        <v>162</v>
      </c>
      <c r="E212" s="81">
        <f ca="1">E207/4</f>
        <v>33.464880179785759</v>
      </c>
      <c r="F212" s="9"/>
    </row>
    <row r="213" spans="1:6" x14ac:dyDescent="0.2">
      <c r="A213" s="9"/>
      <c r="B213" s="9"/>
      <c r="C213" s="9"/>
      <c r="D213" s="9"/>
      <c r="E213" s="9"/>
      <c r="F213" s="9"/>
    </row>
    <row r="215" spans="1:6" x14ac:dyDescent="0.2">
      <c r="A215" s="9" t="s">
        <v>180</v>
      </c>
      <c r="B215" s="9"/>
      <c r="C215" s="9"/>
      <c r="D215" s="9"/>
      <c r="E215" s="9"/>
      <c r="F215" s="9"/>
    </row>
    <row r="216" spans="1:6" x14ac:dyDescent="0.2">
      <c r="A216" s="654"/>
      <c r="B216" s="654"/>
      <c r="C216" s="654"/>
      <c r="D216" s="654"/>
      <c r="E216" s="654"/>
      <c r="F216" s="9"/>
    </row>
    <row r="217" spans="1:6" x14ac:dyDescent="0.2">
      <c r="A217" s="654"/>
      <c r="B217" s="654"/>
      <c r="C217" s="654"/>
      <c r="D217" s="654"/>
      <c r="E217" s="654"/>
      <c r="F217" s="9"/>
    </row>
    <row r="218" spans="1:6" x14ac:dyDescent="0.2">
      <c r="A218" s="654"/>
      <c r="B218" s="654"/>
      <c r="C218" s="654"/>
      <c r="D218" s="654"/>
      <c r="E218" s="654"/>
      <c r="F218" s="9"/>
    </row>
    <row r="219" spans="1:6" x14ac:dyDescent="0.2">
      <c r="A219" s="9"/>
      <c r="B219" s="9"/>
      <c r="C219" s="9"/>
      <c r="D219" s="9"/>
      <c r="E219" s="9"/>
      <c r="F219" s="9"/>
    </row>
    <row r="221" spans="1:6" x14ac:dyDescent="0.2">
      <c r="A221" s="9"/>
      <c r="B221" s="9"/>
      <c r="C221" s="9"/>
      <c r="D221" s="9"/>
      <c r="E221" s="9"/>
      <c r="F221" s="9"/>
    </row>
    <row r="222" spans="1:6" x14ac:dyDescent="0.2">
      <c r="A222" s="9"/>
      <c r="B222" s="9"/>
      <c r="C222" s="9"/>
      <c r="D222" s="9"/>
      <c r="E222" s="11"/>
      <c r="F222" s="9"/>
    </row>
    <row r="223" spans="1:6" x14ac:dyDescent="0.2">
      <c r="A223" s="9"/>
      <c r="B223" s="9"/>
      <c r="C223" s="9"/>
      <c r="D223" s="9"/>
      <c r="E223" s="9"/>
      <c r="F223" s="9"/>
    </row>
    <row r="224" spans="1:6" ht="34.5" customHeight="1" x14ac:dyDescent="0.2">
      <c r="A224" s="9"/>
      <c r="B224" s="9"/>
      <c r="C224" s="9"/>
      <c r="D224" s="9"/>
      <c r="E224" s="9"/>
      <c r="F224" s="9"/>
    </row>
    <row r="225" spans="1:6" x14ac:dyDescent="0.2">
      <c r="A225" s="9"/>
      <c r="B225" s="9"/>
      <c r="C225" s="9"/>
      <c r="D225" s="9"/>
      <c r="E225" s="9"/>
      <c r="F225" s="9"/>
    </row>
    <row r="226" spans="1:6" x14ac:dyDescent="0.2">
      <c r="A226" s="9"/>
      <c r="B226" s="9"/>
      <c r="C226" s="9"/>
      <c r="D226" s="9"/>
      <c r="E226" s="9"/>
      <c r="F226" s="9"/>
    </row>
    <row r="227" spans="1:6" x14ac:dyDescent="0.2">
      <c r="A227" s="9"/>
      <c r="B227" s="9"/>
      <c r="C227" s="9"/>
      <c r="D227" s="9"/>
      <c r="E227" s="11"/>
      <c r="F227" s="9"/>
    </row>
    <row r="228" spans="1:6" x14ac:dyDescent="0.2">
      <c r="A228" s="9"/>
      <c r="B228" s="9"/>
      <c r="C228" s="9"/>
      <c r="D228" s="9"/>
      <c r="E228" s="11"/>
      <c r="F228" s="9"/>
    </row>
    <row r="229" spans="1:6" x14ac:dyDescent="0.2">
      <c r="A229" s="9"/>
      <c r="B229" s="9"/>
      <c r="C229" s="9"/>
      <c r="D229" s="9"/>
      <c r="E229" s="11"/>
      <c r="F229" s="9"/>
    </row>
    <row r="230" spans="1:6" x14ac:dyDescent="0.2">
      <c r="A230" s="9"/>
      <c r="B230" s="9"/>
      <c r="C230" s="9"/>
      <c r="D230" s="9"/>
      <c r="E230" s="11"/>
      <c r="F230" s="9"/>
    </row>
    <row r="231" spans="1:6" x14ac:dyDescent="0.2">
      <c r="A231" s="9"/>
      <c r="B231" s="9"/>
      <c r="C231" s="9"/>
      <c r="D231" s="9"/>
      <c r="E231" s="11"/>
      <c r="F231" s="9"/>
    </row>
    <row r="232" spans="1:6" x14ac:dyDescent="0.2">
      <c r="A232" s="9"/>
      <c r="B232" s="9"/>
      <c r="C232" s="9"/>
      <c r="D232" s="9"/>
      <c r="E232" s="11"/>
      <c r="F232" s="9"/>
    </row>
    <row r="233" spans="1:6" x14ac:dyDescent="0.2">
      <c r="A233" s="9"/>
      <c r="B233" s="9"/>
      <c r="C233" s="9"/>
      <c r="D233" s="9"/>
      <c r="E233" s="9"/>
      <c r="F233" s="9"/>
    </row>
    <row r="274" spans="1:6" x14ac:dyDescent="0.2">
      <c r="A274" s="9"/>
      <c r="B274" s="9"/>
      <c r="C274" s="9"/>
      <c r="D274" s="9"/>
      <c r="E274" s="9"/>
      <c r="F274" s="9"/>
    </row>
    <row r="275" spans="1:6" x14ac:dyDescent="0.2">
      <c r="A275" s="9"/>
      <c r="B275" s="9"/>
      <c r="C275" s="9"/>
      <c r="D275" s="9"/>
      <c r="E275" s="9"/>
      <c r="F275" s="9"/>
    </row>
  </sheetData>
  <sheetProtection selectLockedCells="1" selectUnlockedCells="1"/>
  <mergeCells count="3">
    <mergeCell ref="A3:D3"/>
    <mergeCell ref="A63:G63"/>
    <mergeCell ref="A216:E218"/>
  </mergeCells>
  <phoneticPr fontId="0" type="noConversion"/>
  <printOptions horizontalCentered="1" verticalCentered="1"/>
  <pageMargins left="0.39370078740157483" right="0.39370078740157483" top="0.59055118110236227" bottom="0.59055118110236227" header="0.51181102362204722" footer="0.51181102362204722"/>
  <pageSetup paperSize="9" orientation="portrait" r:id="rId1"/>
  <headerFooter alignWithMargins="0"/>
  <cellWatches>
    <cellWatch r="A48"/>
  </cellWatch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dimension ref="A1:AY251"/>
  <sheetViews>
    <sheetView topLeftCell="A34" zoomScale="75" zoomScaleNormal="75" workbookViewId="0">
      <selection activeCell="B8" sqref="B8:F8"/>
    </sheetView>
  </sheetViews>
  <sheetFormatPr baseColWidth="10" defaultRowHeight="12.75" x14ac:dyDescent="0.2"/>
  <cols>
    <col min="1" max="1" width="37.7109375" style="106" customWidth="1"/>
    <col min="2" max="2" width="12.28515625" style="106" bestFit="1" customWidth="1"/>
    <col min="3" max="3" width="12.7109375" style="106" customWidth="1"/>
    <col min="4" max="4" width="12.28515625" style="106" customWidth="1"/>
    <col min="5" max="5" width="11.7109375" style="106" customWidth="1"/>
    <col min="6" max="6" width="12" style="106" customWidth="1"/>
    <col min="7" max="7" width="10.85546875" style="106" bestFit="1" customWidth="1"/>
    <col min="8" max="8" width="11.85546875" style="106" customWidth="1"/>
    <col min="9" max="9" width="13" style="106" bestFit="1" customWidth="1"/>
    <col min="10" max="10" width="10" style="106" bestFit="1" customWidth="1"/>
    <col min="11" max="11" width="11.42578125" style="106"/>
    <col min="12" max="12" width="14.7109375" style="106" bestFit="1" customWidth="1"/>
    <col min="13" max="13" width="10.42578125" style="106" customWidth="1"/>
    <col min="14" max="14" width="15" style="106" customWidth="1"/>
    <col min="15" max="15" width="12" style="106" bestFit="1" customWidth="1"/>
    <col min="16" max="24" width="11.42578125" style="106"/>
    <col min="25" max="25" width="21.85546875" style="106" customWidth="1"/>
    <col min="26" max="26" width="11.42578125" style="106"/>
    <col min="27" max="27" width="27.42578125" style="106" customWidth="1"/>
    <col min="28" max="16384" width="11.42578125" style="106"/>
  </cols>
  <sheetData>
    <row r="1" spans="1:27" x14ac:dyDescent="0.2">
      <c r="A1" s="103" t="str">
        <f>'ch soc'!A1</f>
        <v>Année</v>
      </c>
      <c r="B1" s="104">
        <f>'ch soc'!B1</f>
        <v>2011</v>
      </c>
      <c r="C1" s="105"/>
      <c r="D1" s="105"/>
      <c r="E1" s="105"/>
      <c r="F1" s="105"/>
      <c r="G1" s="105" t="str">
        <f>'ch soc'!G1</f>
        <v>TAUX</v>
      </c>
      <c r="H1" s="105"/>
      <c r="I1" s="105"/>
      <c r="J1" s="105"/>
      <c r="K1" s="105"/>
      <c r="L1" s="105"/>
      <c r="M1" s="105"/>
      <c r="N1" s="105"/>
      <c r="O1" s="105"/>
      <c r="P1" s="105"/>
      <c r="Q1" s="105"/>
      <c r="R1" s="105"/>
      <c r="S1" s="105"/>
      <c r="T1" s="105"/>
      <c r="U1" s="105"/>
      <c r="V1" s="105"/>
      <c r="W1" s="105"/>
      <c r="X1" s="105"/>
      <c r="Y1" s="105"/>
      <c r="Z1" s="105"/>
      <c r="AA1" s="105"/>
    </row>
    <row r="2" spans="1:27" x14ac:dyDescent="0.2">
      <c r="A2" s="105"/>
      <c r="B2" s="105"/>
      <c r="C2" s="105"/>
      <c r="D2" s="105"/>
      <c r="E2" s="105"/>
      <c r="F2" s="105"/>
      <c r="G2" s="105"/>
      <c r="H2" s="105"/>
      <c r="I2" s="105" t="s">
        <v>206</v>
      </c>
      <c r="J2" s="105"/>
      <c r="K2" s="105"/>
      <c r="L2" s="105"/>
      <c r="M2" s="105"/>
      <c r="N2" s="105"/>
      <c r="O2" s="105"/>
      <c r="P2" s="105"/>
      <c r="Q2" s="105"/>
      <c r="R2" s="105"/>
      <c r="S2" s="105"/>
      <c r="T2" s="105"/>
      <c r="U2" s="105"/>
      <c r="V2" s="105"/>
      <c r="W2" s="105"/>
      <c r="X2" s="105"/>
      <c r="Y2" s="105"/>
      <c r="Z2" s="105"/>
      <c r="AA2" s="105"/>
    </row>
    <row r="3" spans="1:27" x14ac:dyDescent="0.2">
      <c r="A3" s="658" t="str">
        <f>'ch soc'!A3:D3</f>
        <v xml:space="preserve">                 PLAFOND SS POUR 2011</v>
      </c>
      <c r="B3" s="658"/>
      <c r="C3" s="658"/>
      <c r="D3" s="658"/>
      <c r="E3" s="105">
        <f>'ch soc'!E3</f>
        <v>35352</v>
      </c>
      <c r="F3" s="105"/>
      <c r="G3" s="104" t="str">
        <f>'ch soc'!G3</f>
        <v>alloc familiales</v>
      </c>
      <c r="H3" s="107">
        <f>'ch soc'!H3</f>
        <v>5.3999999999999999E-2</v>
      </c>
      <c r="I3" s="104"/>
      <c r="J3" s="104" t="str">
        <f>'ch soc'!J3</f>
        <v>cnbf</v>
      </c>
      <c r="K3" s="104" t="str">
        <f>'ch soc'!K3</f>
        <v>&lt;39000</v>
      </c>
      <c r="L3" s="104">
        <f>'ch soc'!L3</f>
        <v>39000</v>
      </c>
      <c r="M3" s="107">
        <f>'ch soc'!M3</f>
        <v>3.0599999999999999E-2</v>
      </c>
      <c r="N3" s="104" t="str">
        <f>'ch soc'!N3</f>
        <v>inv deces</v>
      </c>
      <c r="O3" s="104">
        <f>'ch soc'!O3</f>
        <v>137</v>
      </c>
      <c r="P3" s="104"/>
      <c r="Q3" s="104"/>
      <c r="R3" s="104"/>
      <c r="S3" s="104"/>
      <c r="T3" s="105"/>
      <c r="U3" s="105"/>
      <c r="V3" s="105"/>
      <c r="W3" s="105"/>
      <c r="X3" s="105"/>
      <c r="Y3" s="105"/>
      <c r="Z3" s="105"/>
      <c r="AA3" s="105"/>
    </row>
    <row r="4" spans="1:27" x14ac:dyDescent="0.2">
      <c r="A4" s="105" t="str">
        <f>'ch soc'!A4</f>
        <v xml:space="preserve">                 PLAFOND SS POUR 2010</v>
      </c>
      <c r="B4" s="105"/>
      <c r="C4" s="105"/>
      <c r="D4" s="105"/>
      <c r="E4" s="105">
        <f>'ch soc'!E4</f>
        <v>34620</v>
      </c>
      <c r="F4" s="105"/>
      <c r="G4" s="104" t="str">
        <f>'ch soc'!G4</f>
        <v>csg/rds</v>
      </c>
      <c r="H4" s="107">
        <f>'ch soc'!H4</f>
        <v>0.08</v>
      </c>
      <c r="I4" s="104"/>
      <c r="J4" s="104" t="str">
        <f>'ch soc'!J4</f>
        <v>cnbf</v>
      </c>
      <c r="K4" s="104" t="str">
        <f>'ch soc'!K4</f>
        <v>&lt;156000</v>
      </c>
      <c r="L4" s="104">
        <f>'ch soc'!L4</f>
        <v>156000</v>
      </c>
      <c r="M4" s="107">
        <f>'ch soc'!M4</f>
        <v>6.1199999999999997E-2</v>
      </c>
      <c r="N4" s="104"/>
      <c r="O4" s="104"/>
      <c r="P4" s="104"/>
      <c r="Q4" s="104"/>
      <c r="R4" s="104"/>
      <c r="S4" s="104"/>
      <c r="T4" s="105"/>
      <c r="U4" s="105"/>
      <c r="V4" s="105"/>
      <c r="W4" s="105"/>
      <c r="X4" s="105"/>
      <c r="Y4" s="105"/>
      <c r="Z4" s="105"/>
      <c r="AA4" s="105"/>
    </row>
    <row r="5" spans="1:27" x14ac:dyDescent="0.2">
      <c r="A5" s="105" t="str">
        <f>'ch soc'!A5</f>
        <v xml:space="preserve">                 PLAFOND SS POUR 2009</v>
      </c>
      <c r="B5" s="105"/>
      <c r="C5" s="105"/>
      <c r="D5" s="105"/>
      <c r="E5" s="105">
        <f>'ch soc'!E5</f>
        <v>34308</v>
      </c>
      <c r="F5" s="105"/>
      <c r="G5" s="104" t="str">
        <f>'ch soc'!G5</f>
        <v>alloc med</v>
      </c>
      <c r="H5" s="107">
        <f>'ch soc'!H5</f>
        <v>4.0000000000000001E-3</v>
      </c>
      <c r="I5" s="104"/>
      <c r="J5" s="104" t="str">
        <f>'ch soc'!J5</f>
        <v>regime base avocat</v>
      </c>
      <c r="K5" s="104">
        <f>'ch soc'!K5</f>
        <v>266840</v>
      </c>
      <c r="L5" s="104"/>
      <c r="M5" s="107"/>
      <c r="N5" s="104"/>
      <c r="O5" s="104"/>
      <c r="P5" s="104"/>
      <c r="Q5" s="104"/>
      <c r="R5" s="104"/>
      <c r="S5" s="104"/>
      <c r="T5" s="105"/>
      <c r="U5" s="105"/>
      <c r="V5" s="105"/>
      <c r="W5" s="105"/>
      <c r="X5" s="105"/>
      <c r="Y5" s="105"/>
      <c r="Z5" s="105"/>
      <c r="AA5" s="105"/>
    </row>
    <row r="6" spans="1:27" x14ac:dyDescent="0.2">
      <c r="A6" s="105" t="str">
        <f>'ch soc'!A6</f>
        <v xml:space="preserve">                 PLAFOND SS POUR 2008</v>
      </c>
      <c r="B6" s="98"/>
      <c r="C6" s="98"/>
      <c r="D6" s="98"/>
      <c r="E6" s="105">
        <f>'ch soc'!E6</f>
        <v>33276</v>
      </c>
      <c r="F6" s="105"/>
      <c r="G6" s="104" t="str">
        <f>'ch soc'!G6</f>
        <v>alloc med&gt;plaf</v>
      </c>
      <c r="H6" s="107">
        <f>'ch soc'!H6</f>
        <v>2.5000000000000001E-2</v>
      </c>
      <c r="I6" s="104"/>
      <c r="J6" s="104" t="str">
        <f>'ch soc'!J6</f>
        <v>taux avocat</v>
      </c>
      <c r="K6" s="107">
        <f>'ch soc'!K6</f>
        <v>2.1000000000000001E-2</v>
      </c>
      <c r="L6" s="104"/>
      <c r="M6" s="107"/>
      <c r="N6" s="104"/>
      <c r="O6" s="104"/>
      <c r="P6" s="105"/>
      <c r="Q6" s="105"/>
      <c r="R6" s="104"/>
      <c r="S6" s="104"/>
      <c r="T6" s="105"/>
      <c r="U6" s="105"/>
      <c r="V6" s="105"/>
      <c r="W6" s="105"/>
      <c r="X6" s="105"/>
      <c r="Y6" s="105"/>
      <c r="Z6" s="105"/>
      <c r="AA6" s="105"/>
    </row>
    <row r="7" spans="1:27" x14ac:dyDescent="0.2">
      <c r="A7" s="98"/>
      <c r="B7" s="98"/>
      <c r="C7" s="98"/>
      <c r="D7" s="98"/>
      <c r="E7" s="105"/>
      <c r="F7" s="105"/>
      <c r="G7" s="104" t="str">
        <f>'ch soc'!G7</f>
        <v>union med</v>
      </c>
      <c r="H7" s="107">
        <f>'ch soc'!H7</f>
        <v>5.0000000000000001E-3</v>
      </c>
      <c r="I7" s="104"/>
      <c r="J7" s="104" t="str">
        <f>'ch soc'!J7</f>
        <v>forfait avocat</v>
      </c>
      <c r="K7" s="104">
        <f>'ch soc'!K7</f>
        <v>1430</v>
      </c>
      <c r="L7" s="104" t="str">
        <f>'ch soc'!L7</f>
        <v>&gt;5 ans</v>
      </c>
      <c r="M7" s="107"/>
      <c r="N7" s="104"/>
      <c r="O7" s="104"/>
      <c r="P7" s="104"/>
      <c r="Q7" s="104"/>
      <c r="R7" s="104"/>
      <c r="S7" s="104"/>
      <c r="T7" s="105"/>
      <c r="U7" s="105"/>
      <c r="V7" s="105"/>
      <c r="W7" s="105"/>
      <c r="X7" s="105"/>
      <c r="Y7" s="105"/>
      <c r="Z7" s="105"/>
      <c r="AA7" s="105"/>
    </row>
    <row r="8" spans="1:27" x14ac:dyDescent="0.2">
      <c r="A8" s="98" t="s">
        <v>573</v>
      </c>
      <c r="B8" s="98">
        <v>141570</v>
      </c>
      <c r="C8" s="98"/>
      <c r="D8" s="98"/>
      <c r="E8" s="98"/>
      <c r="F8" s="105"/>
      <c r="G8" s="104" t="str">
        <f>'ch soc'!G8</f>
        <v>contrib form</v>
      </c>
      <c r="H8" s="107">
        <f>'ch soc'!H8</f>
        <v>1.5E-3</v>
      </c>
      <c r="I8" s="104"/>
      <c r="J8" s="104"/>
      <c r="K8" s="104"/>
      <c r="L8" s="104"/>
      <c r="M8" s="107"/>
      <c r="N8" s="104"/>
      <c r="O8" s="104"/>
      <c r="P8" s="104"/>
      <c r="Q8" s="104"/>
      <c r="R8" s="105"/>
      <c r="S8" s="105"/>
      <c r="T8" s="105"/>
      <c r="U8" s="105"/>
      <c r="V8" s="105"/>
      <c r="W8" s="105"/>
      <c r="X8" s="105"/>
      <c r="Y8" s="105"/>
      <c r="Z8" s="105"/>
      <c r="AA8" s="105"/>
    </row>
    <row r="9" spans="1:27" x14ac:dyDescent="0.2">
      <c r="A9" s="98"/>
      <c r="B9" s="98"/>
      <c r="C9" s="94"/>
      <c r="D9" s="94"/>
      <c r="E9" s="94"/>
      <c r="F9" s="105"/>
      <c r="G9" s="104" t="str">
        <f>'ch soc'!G9</f>
        <v>regime base retr</v>
      </c>
      <c r="H9" s="107">
        <f>'ch soc'!H9</f>
        <v>8.5999999999999993E-2</v>
      </c>
      <c r="I9" s="104"/>
      <c r="J9" s="104" t="str">
        <f>'ch soc'!J9</f>
        <v>CARPIMKO</v>
      </c>
      <c r="K9" s="104" t="str">
        <f>'ch soc'!K9</f>
        <v>&lt;25246</v>
      </c>
      <c r="L9" s="104">
        <f>'ch soc'!L9</f>
        <v>25246</v>
      </c>
      <c r="M9" s="107">
        <f>'ch soc'!M9</f>
        <v>0</v>
      </c>
      <c r="N9" s="104"/>
      <c r="O9" s="104"/>
      <c r="P9" s="104"/>
      <c r="Q9" s="104"/>
      <c r="R9" s="104"/>
      <c r="S9" s="104"/>
      <c r="T9" s="105"/>
      <c r="U9" s="105"/>
      <c r="V9" s="105"/>
      <c r="W9" s="105"/>
      <c r="X9" s="105"/>
      <c r="Y9" s="105"/>
      <c r="Z9" s="105"/>
      <c r="AA9" s="105"/>
    </row>
    <row r="10" spans="1:27" x14ac:dyDescent="0.2">
      <c r="A10" s="98"/>
      <c r="B10" s="98"/>
      <c r="C10" s="98"/>
      <c r="D10" s="98"/>
      <c r="E10" s="98"/>
      <c r="F10" s="105"/>
      <c r="G10" s="104" t="str">
        <f>'ch soc'!G10</f>
        <v>regime base retr</v>
      </c>
      <c r="H10" s="107">
        <f>'ch soc'!H10</f>
        <v>1.6E-2</v>
      </c>
      <c r="I10" s="104"/>
      <c r="J10" s="104" t="str">
        <f>'ch soc'!J10</f>
        <v>CARPIMKO</v>
      </c>
      <c r="K10" s="104" t="str">
        <f>'ch soc'!K10</f>
        <v>&lt;135246</v>
      </c>
      <c r="L10" s="104">
        <f>'ch soc'!L10</f>
        <v>135246</v>
      </c>
      <c r="M10" s="107">
        <f>'ch soc'!M10</f>
        <v>0.03</v>
      </c>
      <c r="N10" s="104" t="str">
        <f>'ch soc'!N10</f>
        <v>inv deces</v>
      </c>
      <c r="O10" s="104">
        <f>'ch soc'!O10</f>
        <v>654</v>
      </c>
      <c r="P10" s="104" t="str">
        <f>'ch soc'!P10</f>
        <v>aux medicaux</v>
      </c>
      <c r="Q10" s="104">
        <f>'ch soc'!Q10</f>
        <v>180</v>
      </c>
      <c r="R10" s="104"/>
      <c r="S10" s="104"/>
      <c r="T10" s="105"/>
      <c r="U10" s="105"/>
      <c r="V10" s="105"/>
      <c r="W10" s="105"/>
      <c r="X10" s="105"/>
      <c r="Y10" s="105"/>
      <c r="Z10" s="105"/>
      <c r="AA10" s="105"/>
    </row>
    <row r="11" spans="1:27" x14ac:dyDescent="0.2">
      <c r="A11" s="98"/>
      <c r="B11" s="98"/>
      <c r="C11" s="98"/>
      <c r="D11" s="98"/>
      <c r="E11" s="98"/>
      <c r="F11" s="105"/>
      <c r="G11" s="104"/>
      <c r="H11" s="107"/>
      <c r="I11" s="104"/>
      <c r="J11" s="104" t="str">
        <f>'ch soc'!J11</f>
        <v>forfait carpimko</v>
      </c>
      <c r="K11" s="104">
        <f>'ch soc'!K11</f>
        <v>1200</v>
      </c>
      <c r="L11" s="104"/>
      <c r="M11" s="107"/>
      <c r="N11" s="104"/>
      <c r="O11" s="104"/>
      <c r="P11" s="104"/>
      <c r="Q11" s="104"/>
      <c r="R11" s="104"/>
      <c r="S11" s="104"/>
      <c r="T11" s="105"/>
      <c r="U11" s="105"/>
      <c r="V11" s="105"/>
      <c r="W11" s="105"/>
      <c r="X11" s="105"/>
      <c r="Y11" s="105"/>
      <c r="Z11" s="105"/>
      <c r="AA11" s="105"/>
    </row>
    <row r="12" spans="1:27" x14ac:dyDescent="0.2">
      <c r="A12" s="98"/>
      <c r="B12" s="98"/>
      <c r="C12" s="98"/>
      <c r="D12" s="98"/>
      <c r="E12" s="98"/>
      <c r="F12" s="105"/>
      <c r="G12" s="104"/>
      <c r="H12" s="107"/>
      <c r="I12" s="104"/>
      <c r="J12" s="104"/>
      <c r="K12" s="104"/>
      <c r="L12" s="104"/>
      <c r="M12" s="107"/>
      <c r="N12" s="104"/>
      <c r="O12" s="104"/>
      <c r="P12" s="104"/>
      <c r="Q12" s="104"/>
      <c r="R12" s="104"/>
      <c r="S12" s="104"/>
      <c r="T12" s="105"/>
      <c r="U12" s="105"/>
      <c r="V12" s="105"/>
      <c r="W12" s="105"/>
      <c r="X12" s="105"/>
      <c r="Y12" s="105"/>
      <c r="Z12" s="105"/>
      <c r="AA12" s="105"/>
    </row>
    <row r="13" spans="1:27" x14ac:dyDescent="0.2">
      <c r="A13" s="98"/>
      <c r="B13" s="98"/>
      <c r="C13" s="98"/>
      <c r="D13" s="98"/>
      <c r="E13" s="98"/>
      <c r="F13" s="105"/>
      <c r="G13" s="104"/>
      <c r="H13" s="107"/>
      <c r="I13" s="104"/>
      <c r="J13" s="104" t="str">
        <f>'ch soc'!J13</f>
        <v>forfait card</v>
      </c>
      <c r="K13" s="104">
        <f>'ch soc'!K13</f>
        <v>2268</v>
      </c>
      <c r="L13" s="104"/>
      <c r="M13" s="107"/>
      <c r="N13" s="104"/>
      <c r="O13" s="104"/>
      <c r="P13" s="104"/>
      <c r="Q13" s="104"/>
      <c r="R13" s="104"/>
      <c r="S13" s="104"/>
      <c r="T13" s="105"/>
      <c r="U13" s="105"/>
      <c r="V13" s="105"/>
      <c r="W13" s="105"/>
      <c r="X13" s="105"/>
      <c r="Y13" s="105"/>
      <c r="Z13" s="105"/>
      <c r="AA13" s="105"/>
    </row>
    <row r="14" spans="1:27" x14ac:dyDescent="0.2">
      <c r="A14" s="105"/>
      <c r="B14" s="105"/>
      <c r="C14" s="105"/>
      <c r="D14" s="105"/>
      <c r="E14" s="105"/>
      <c r="F14" s="105"/>
      <c r="G14" s="104"/>
      <c r="H14" s="107"/>
      <c r="I14" s="104"/>
      <c r="J14" s="104" t="str">
        <f>'ch soc'!J14</f>
        <v>CARD</v>
      </c>
      <c r="K14" s="104" t="str">
        <f>'ch soc'!K14</f>
        <v>&lt;35352*5</v>
      </c>
      <c r="L14" s="104">
        <f>'ch soc'!L14</f>
        <v>176760</v>
      </c>
      <c r="M14" s="107">
        <f>'ch soc'!M14</f>
        <v>0.1</v>
      </c>
      <c r="N14" s="104" t="str">
        <f>'ch soc'!N14</f>
        <v>inv deces</v>
      </c>
      <c r="O14" s="104">
        <f>'ch soc'!O14</f>
        <v>1064</v>
      </c>
      <c r="P14" s="104" t="str">
        <f>'ch soc'!P14</f>
        <v>indem jl</v>
      </c>
      <c r="Q14" s="104">
        <f>'ch soc'!Q14</f>
        <v>222</v>
      </c>
      <c r="R14" s="104" t="str">
        <f>'ch soc'!R14</f>
        <v>ASV</v>
      </c>
      <c r="S14" s="104">
        <f>'ch soc'!S14</f>
        <v>1300</v>
      </c>
      <c r="T14" s="105"/>
      <c r="U14" s="105"/>
      <c r="V14" s="105"/>
      <c r="W14" s="105"/>
      <c r="X14" s="105"/>
      <c r="Y14" s="105"/>
      <c r="Z14" s="105"/>
      <c r="AA14" s="105"/>
    </row>
    <row r="15" spans="1:27" x14ac:dyDescent="0.2">
      <c r="A15" s="105"/>
      <c r="B15" s="105"/>
      <c r="C15" s="108" t="str">
        <f>'ch soc'!C15</f>
        <v>CHARGES SOCIALES</v>
      </c>
      <c r="D15" s="105"/>
      <c r="E15" s="105"/>
      <c r="F15" s="105"/>
      <c r="G15" s="104"/>
      <c r="H15" s="107"/>
      <c r="I15" s="104"/>
      <c r="J15" s="104" t="str">
        <f>'ch soc'!J15</f>
        <v>CAVEC</v>
      </c>
      <c r="K15" s="104" t="str">
        <f>'ch soc'!K15</f>
        <v>&lt;15720</v>
      </c>
      <c r="L15" s="104">
        <f>'ch soc'!L15</f>
        <v>15720</v>
      </c>
      <c r="M15" s="109">
        <f>'ch soc'!M15</f>
        <v>518</v>
      </c>
      <c r="N15" s="104"/>
      <c r="O15" s="104">
        <f>'ch soc'!O15</f>
        <v>144</v>
      </c>
      <c r="P15" s="104"/>
      <c r="Q15" s="104"/>
      <c r="R15" s="104"/>
      <c r="S15" s="104"/>
      <c r="T15" s="105"/>
      <c r="U15" s="105"/>
      <c r="V15" s="105"/>
      <c r="W15" s="105"/>
      <c r="X15" s="105"/>
      <c r="Y15" s="105"/>
      <c r="Z15" s="105"/>
      <c r="AA15" s="105"/>
    </row>
    <row r="16" spans="1:27" x14ac:dyDescent="0.2">
      <c r="A16" s="105"/>
      <c r="B16" s="105"/>
      <c r="C16" s="105"/>
      <c r="D16" s="105"/>
      <c r="E16" s="105"/>
      <c r="F16" s="105"/>
      <c r="G16" s="104" t="str">
        <f>'ch soc'!G16</f>
        <v>alloc rempl</v>
      </c>
      <c r="H16" s="107">
        <f>'ch soc'!H16</f>
        <v>3.5E-4</v>
      </c>
      <c r="I16" s="104"/>
      <c r="J16" s="104" t="str">
        <f>'ch soc'!J16</f>
        <v>CAVEC</v>
      </c>
      <c r="K16" s="104" t="str">
        <f>'ch soc'!K16</f>
        <v>&lt;31440</v>
      </c>
      <c r="L16" s="104">
        <f>'ch soc'!L16</f>
        <v>31440</v>
      </c>
      <c r="M16" s="109">
        <f>'ch soc'!M16</f>
        <v>1942</v>
      </c>
      <c r="N16" s="104"/>
      <c r="O16" s="104">
        <f>'ch soc'!O16</f>
        <v>288</v>
      </c>
      <c r="P16" s="104"/>
      <c r="Q16" s="104"/>
      <c r="R16" s="104"/>
      <c r="S16" s="104"/>
      <c r="T16" s="105"/>
      <c r="U16" s="105"/>
      <c r="V16" s="105"/>
      <c r="W16" s="105"/>
      <c r="X16" s="105"/>
      <c r="Y16" s="105"/>
      <c r="Z16" s="105"/>
      <c r="AA16" s="105"/>
    </row>
    <row r="17" spans="1:27" x14ac:dyDescent="0.2">
      <c r="A17" s="105"/>
      <c r="B17" s="105"/>
      <c r="C17" s="105"/>
      <c r="D17" s="105"/>
      <c r="E17" s="105"/>
      <c r="F17" s="105"/>
      <c r="G17" s="104" t="str">
        <f>'ch soc'!G17</f>
        <v>ass maladie</v>
      </c>
      <c r="H17" s="107">
        <f>'ch soc'!H17</f>
        <v>6.0000000000000001E-3</v>
      </c>
      <c r="I17" s="104"/>
      <c r="J17" s="104" t="str">
        <f>'ch soc'!J17</f>
        <v>CAVEC</v>
      </c>
      <c r="K17" s="104" t="str">
        <f>'ch soc'!K17</f>
        <v>&lt;43470</v>
      </c>
      <c r="L17" s="104">
        <f>'ch soc'!L17</f>
        <v>43470</v>
      </c>
      <c r="M17" s="109">
        <f>'ch soc'!M17</f>
        <v>3064</v>
      </c>
      <c r="N17" s="104" t="str">
        <f>'ch soc'!N17</f>
        <v>inv deces</v>
      </c>
      <c r="O17" s="104">
        <f>'ch soc'!O17</f>
        <v>288</v>
      </c>
      <c r="P17" s="104"/>
      <c r="Q17" s="104"/>
      <c r="R17" s="104"/>
      <c r="S17" s="104"/>
      <c r="T17" s="105"/>
      <c r="U17" s="105"/>
      <c r="V17" s="105"/>
      <c r="W17" s="105"/>
      <c r="X17" s="105"/>
      <c r="Y17" s="105"/>
      <c r="Z17" s="105"/>
      <c r="AA17" s="105"/>
    </row>
    <row r="18" spans="1:27" x14ac:dyDescent="0.2">
      <c r="A18" s="105" t="s">
        <v>318</v>
      </c>
      <c r="B18" s="105">
        <f>+simulateur!N10</f>
        <v>3</v>
      </c>
      <c r="C18" s="105"/>
      <c r="D18" s="110">
        <f>simulateur!N10</f>
        <v>3</v>
      </c>
      <c r="E18" s="105"/>
      <c r="F18" s="105"/>
      <c r="G18" s="104" t="str">
        <f>'ch soc'!G18</f>
        <v>ass maladie</v>
      </c>
      <c r="H18" s="107">
        <f>'ch soc'!H18</f>
        <v>5.8999999999999997E-2</v>
      </c>
      <c r="I18" s="104"/>
      <c r="J18" s="104" t="str">
        <f>'ch soc'!J18</f>
        <v>CAVEC</v>
      </c>
      <c r="K18" s="104" t="str">
        <f>'ch soc'!K18</f>
        <v>&lt;62740</v>
      </c>
      <c r="L18" s="104">
        <f>'ch soc'!L18</f>
        <v>62740</v>
      </c>
      <c r="M18" s="109">
        <f>'ch soc'!M18</f>
        <v>4791</v>
      </c>
      <c r="N18" s="104"/>
      <c r="O18" s="104">
        <f>'ch soc'!O18</f>
        <v>576</v>
      </c>
      <c r="P18" s="104"/>
      <c r="Q18" s="104"/>
      <c r="R18" s="104"/>
      <c r="S18" s="104"/>
      <c r="T18" s="105"/>
      <c r="U18" s="105"/>
      <c r="V18" s="105"/>
      <c r="W18" s="105"/>
      <c r="X18" s="105"/>
      <c r="Y18" s="105"/>
      <c r="Z18" s="105"/>
      <c r="AA18" s="105"/>
    </row>
    <row r="19" spans="1:27" x14ac:dyDescent="0.2">
      <c r="A19" s="105"/>
      <c r="B19" s="105"/>
      <c r="C19" s="105"/>
      <c r="D19" s="105"/>
      <c r="E19" s="105"/>
      <c r="F19" s="105"/>
      <c r="G19" s="104" t="str">
        <f>'ch soc'!G19</f>
        <v>ass maladie med</v>
      </c>
      <c r="H19" s="107">
        <f>'ch soc'!H19</f>
        <v>1.1000000000000001E-3</v>
      </c>
      <c r="I19" s="104"/>
      <c r="J19" s="104" t="str">
        <f>'ch soc'!J19</f>
        <v>CAVEC</v>
      </c>
      <c r="K19" s="104" t="str">
        <f>'ch soc'!K19</f>
        <v>&lt;76800</v>
      </c>
      <c r="L19" s="104">
        <f>'ch soc'!L19</f>
        <v>76800</v>
      </c>
      <c r="M19" s="109">
        <f>'ch soc'!M19</f>
        <v>7639</v>
      </c>
      <c r="N19" s="104"/>
      <c r="O19" s="104">
        <f>'ch soc'!O19</f>
        <v>576</v>
      </c>
      <c r="P19" s="104"/>
      <c r="Q19" s="104"/>
      <c r="R19" s="104"/>
      <c r="S19" s="104"/>
      <c r="T19" s="105"/>
      <c r="U19" s="105"/>
      <c r="V19" s="105"/>
      <c r="W19" s="105"/>
      <c r="X19" s="105"/>
      <c r="Y19" s="105"/>
      <c r="Z19" s="105"/>
      <c r="AA19" s="105"/>
    </row>
    <row r="20" spans="1:27" x14ac:dyDescent="0.2">
      <c r="A20" s="105"/>
      <c r="B20" s="105"/>
      <c r="C20" s="105"/>
      <c r="D20" s="105"/>
      <c r="E20" s="105"/>
      <c r="F20" s="105"/>
      <c r="G20" s="104"/>
      <c r="H20" s="104"/>
      <c r="I20" s="104"/>
      <c r="J20" s="104" t="str">
        <f>'ch soc'!J20</f>
        <v>CAVEC</v>
      </c>
      <c r="K20" s="104" t="str">
        <f>'ch soc'!K20</f>
        <v>&lt;91160</v>
      </c>
      <c r="L20" s="104">
        <f>'ch soc'!L20</f>
        <v>91160</v>
      </c>
      <c r="M20" s="109">
        <f>'ch soc'!M20</f>
        <v>11653</v>
      </c>
      <c r="N20" s="104"/>
      <c r="O20" s="104">
        <f>'ch soc'!O20</f>
        <v>864</v>
      </c>
      <c r="P20" s="104"/>
      <c r="Q20" s="104"/>
      <c r="R20" s="104"/>
      <c r="S20" s="104"/>
      <c r="T20" s="105"/>
      <c r="U20" s="105"/>
      <c r="V20" s="105"/>
      <c r="W20" s="105"/>
      <c r="X20" s="105"/>
      <c r="Y20" s="105"/>
      <c r="Z20" s="105"/>
      <c r="AA20" s="105"/>
    </row>
    <row r="21" spans="1:27" x14ac:dyDescent="0.2">
      <c r="A21" s="105"/>
      <c r="B21" s="105"/>
      <c r="C21" s="105"/>
      <c r="D21" s="105"/>
      <c r="E21" s="105"/>
      <c r="F21" s="105"/>
      <c r="G21" s="104"/>
      <c r="H21" s="104"/>
      <c r="I21" s="104"/>
      <c r="J21" s="104" t="str">
        <f>'ch soc'!J21</f>
        <v>CAVEC</v>
      </c>
      <c r="K21" s="104" t="str">
        <f>'ch soc'!K21</f>
        <v>&lt;129020</v>
      </c>
      <c r="L21" s="104">
        <f>'ch soc'!L21</f>
        <v>129020</v>
      </c>
      <c r="M21" s="109">
        <f>'ch soc'!M21</f>
        <v>12948</v>
      </c>
      <c r="N21" s="104"/>
      <c r="O21" s="104">
        <f>'ch soc'!O21</f>
        <v>864</v>
      </c>
      <c r="P21" s="104"/>
      <c r="Q21" s="104"/>
      <c r="R21" s="104"/>
      <c r="S21" s="104"/>
      <c r="T21" s="105"/>
      <c r="U21" s="105"/>
      <c r="V21" s="105"/>
      <c r="W21" s="105"/>
      <c r="X21" s="105"/>
      <c r="Y21" s="105"/>
      <c r="Z21" s="105"/>
      <c r="AA21" s="105"/>
    </row>
    <row r="22" spans="1:27" x14ac:dyDescent="0.2">
      <c r="A22" s="98" t="str">
        <f>'ch soc'!A24</f>
        <v>REVENU</v>
      </c>
      <c r="B22" s="94" t="s">
        <v>48</v>
      </c>
      <c r="C22" s="105"/>
      <c r="D22" s="105" t="s">
        <v>48</v>
      </c>
      <c r="E22" s="105"/>
      <c r="F22" s="105"/>
      <c r="G22" s="104"/>
      <c r="H22" s="104"/>
      <c r="I22" s="104"/>
      <c r="J22" s="104" t="str">
        <f>'ch soc'!J22</f>
        <v>CAVEC</v>
      </c>
      <c r="K22" s="104" t="str">
        <f>'ch soc'!K22</f>
        <v>&gt;129020</v>
      </c>
      <c r="L22" s="104">
        <f>'ch soc'!L22</f>
        <v>129020</v>
      </c>
      <c r="M22" s="109">
        <f>'ch soc'!M22</f>
        <v>16185</v>
      </c>
      <c r="N22" s="104"/>
      <c r="O22" s="104">
        <f>'ch soc'!O22</f>
        <v>864</v>
      </c>
      <c r="P22" s="104"/>
      <c r="Q22" s="104"/>
      <c r="R22" s="104" t="str">
        <f>'ch soc'!R22</f>
        <v>ADR</v>
      </c>
      <c r="S22" s="107">
        <f>'ch soc'!S22</f>
        <v>0.04</v>
      </c>
      <c r="T22" s="105"/>
      <c r="U22" s="105"/>
      <c r="V22" s="105"/>
      <c r="W22" s="105"/>
      <c r="X22" s="105"/>
      <c r="Y22" s="105"/>
      <c r="Z22" s="105"/>
      <c r="AA22" s="105"/>
    </row>
    <row r="23" spans="1:27" x14ac:dyDescent="0.2">
      <c r="A23" s="98"/>
      <c r="B23" s="98"/>
      <c r="C23" s="98"/>
      <c r="D23" s="98"/>
      <c r="E23" s="98"/>
      <c r="F23" s="105"/>
      <c r="G23" s="104"/>
      <c r="H23" s="104"/>
      <c r="I23" s="104"/>
      <c r="J23" s="104" t="str">
        <f>'ch soc'!J23</f>
        <v>CARMF</v>
      </c>
      <c r="K23" s="104" t="str">
        <f>'ch soc'!K23</f>
        <v>&lt;123732</v>
      </c>
      <c r="L23" s="104">
        <f>'ch soc'!L23</f>
        <v>123732</v>
      </c>
      <c r="M23" s="109">
        <f>'ch soc'!M23</f>
        <v>9.1999999999999998E-2</v>
      </c>
      <c r="N23" s="104" t="str">
        <f>'ch soc'!N23</f>
        <v>inv deces</v>
      </c>
      <c r="O23" s="104">
        <f>'ch soc'!O23</f>
        <v>700</v>
      </c>
      <c r="P23" s="104"/>
      <c r="Q23" s="104"/>
      <c r="R23" s="104" t="str">
        <f>'ch soc'!R23</f>
        <v>ASV</v>
      </c>
      <c r="S23" s="104">
        <f>'ch soc'!S23</f>
        <v>1380</v>
      </c>
      <c r="T23" s="105"/>
      <c r="U23" s="105"/>
      <c r="V23" s="105"/>
      <c r="W23" s="105"/>
      <c r="X23" s="105"/>
      <c r="Y23" s="105"/>
      <c r="Z23" s="105"/>
      <c r="AA23" s="105"/>
    </row>
    <row r="24" spans="1:27" x14ac:dyDescent="0.2">
      <c r="A24" s="98" t="str">
        <f>'ch soc'!A26</f>
        <v>REVENU FISCAL</v>
      </c>
      <c r="B24" s="98">
        <f>simulateur!F261</f>
        <v>100000</v>
      </c>
      <c r="C24" s="98"/>
      <c r="D24" s="98">
        <f>simulateur!F261</f>
        <v>100000</v>
      </c>
      <c r="E24" s="98"/>
      <c r="F24" s="98"/>
      <c r="G24" s="104"/>
      <c r="H24" s="104"/>
      <c r="I24" s="104"/>
      <c r="J24" s="104" t="str">
        <f>'ch soc'!J24</f>
        <v>CIPAV</v>
      </c>
      <c r="K24" s="104" t="str">
        <f>'ch soc'!K24</f>
        <v>&lt;0</v>
      </c>
      <c r="L24" s="104">
        <f>'ch soc'!L24</f>
        <v>0</v>
      </c>
      <c r="M24" s="109">
        <f>'ch soc'!M24</f>
        <v>1092</v>
      </c>
      <c r="N24" s="104" t="str">
        <f>'ch soc'!N24</f>
        <v>inv deces classeA</v>
      </c>
      <c r="O24" s="104">
        <f>'ch soc'!O24</f>
        <v>76</v>
      </c>
      <c r="P24" s="104"/>
      <c r="Q24" s="104"/>
      <c r="R24" s="104" t="s">
        <v>590</v>
      </c>
      <c r="S24" s="104">
        <v>4140</v>
      </c>
      <c r="T24" s="105"/>
      <c r="U24" s="105"/>
      <c r="V24" s="105"/>
      <c r="W24" s="105"/>
      <c r="X24" s="105"/>
      <c r="Y24" s="105"/>
      <c r="Z24" s="105"/>
      <c r="AA24" s="105"/>
    </row>
    <row r="25" spans="1:27" x14ac:dyDescent="0.2">
      <c r="A25" s="111" t="str">
        <f>'ch soc'!A27</f>
        <v>COTISATIONS FACULTATIVES</v>
      </c>
      <c r="B25" s="111">
        <f>simulateur!J73</f>
        <v>100</v>
      </c>
      <c r="C25" s="105"/>
      <c r="D25" s="111">
        <f>simulateur!J73</f>
        <v>100</v>
      </c>
      <c r="E25" s="105"/>
      <c r="F25" s="105"/>
      <c r="G25" s="104"/>
      <c r="H25" s="104"/>
      <c r="I25" s="104"/>
      <c r="J25" s="104" t="str">
        <f>'ch soc'!J25</f>
        <v>CIPAV</v>
      </c>
      <c r="K25" s="104" t="str">
        <f>'ch soc'!K25</f>
        <v>&lt;41050</v>
      </c>
      <c r="L25" s="104">
        <f>'ch soc'!L25</f>
        <v>41050</v>
      </c>
      <c r="M25" s="109">
        <f>'ch soc'!M25</f>
        <v>1092</v>
      </c>
      <c r="N25" s="104"/>
      <c r="O25" s="104"/>
      <c r="P25" s="104"/>
      <c r="Q25" s="104"/>
      <c r="R25" s="104"/>
      <c r="S25" s="104"/>
      <c r="T25" s="105"/>
      <c r="U25" s="105"/>
      <c r="V25" s="105"/>
      <c r="W25" s="105"/>
      <c r="X25" s="105"/>
      <c r="Y25" s="105"/>
      <c r="Z25" s="105"/>
      <c r="AA25" s="105"/>
    </row>
    <row r="26" spans="1:27" x14ac:dyDescent="0.2">
      <c r="A26" s="98" t="s">
        <v>176</v>
      </c>
      <c r="B26" s="98">
        <f ca="1">C63</f>
        <v>3853.5841734815635</v>
      </c>
      <c r="C26" s="98"/>
      <c r="D26" s="98">
        <f ca="1">E63</f>
        <v>3900.1723022120518</v>
      </c>
      <c r="E26" s="98"/>
      <c r="F26" s="105"/>
      <c r="G26" s="104"/>
      <c r="H26" s="104"/>
      <c r="I26" s="104"/>
      <c r="J26" s="104" t="str">
        <f>'ch soc'!J26</f>
        <v>CIPAV</v>
      </c>
      <c r="K26" s="104" t="str">
        <f>'ch soc'!K26</f>
        <v>&lt;48990</v>
      </c>
      <c r="L26" s="104">
        <f>'ch soc'!L26</f>
        <v>48990</v>
      </c>
      <c r="M26" s="109">
        <f>'ch soc'!M26</f>
        <v>2184</v>
      </c>
      <c r="N26" s="104"/>
      <c r="O26" s="104"/>
      <c r="P26" s="104"/>
      <c r="Q26" s="104"/>
      <c r="R26" s="104"/>
      <c r="S26" s="104"/>
      <c r="T26" s="105"/>
      <c r="U26" s="105"/>
      <c r="V26" s="105"/>
      <c r="W26" s="105"/>
      <c r="X26" s="105"/>
      <c r="Y26" s="105"/>
      <c r="Z26" s="105"/>
      <c r="AA26" s="105"/>
    </row>
    <row r="27" spans="1:27" x14ac:dyDescent="0.2">
      <c r="A27" s="105" t="s">
        <v>575</v>
      </c>
      <c r="B27" s="106">
        <f>simulateur!F269</f>
        <v>9800</v>
      </c>
      <c r="C27" s="111"/>
      <c r="D27" s="111">
        <f>IF(simulateur!F267+simulateur!L576-10%*simulateur!F265&gt;0,simulateur!F267+simulateur!L576-10%*simulateur!F265,0)</f>
        <v>11181</v>
      </c>
      <c r="E27" s="111"/>
      <c r="F27" s="103"/>
      <c r="G27" s="112"/>
      <c r="H27" s="112"/>
      <c r="I27" s="112"/>
      <c r="J27" s="104" t="str">
        <f>'ch soc'!J27</f>
        <v>CIPAV</v>
      </c>
      <c r="K27" s="104" t="str">
        <f>'ch soc'!K27</f>
        <v>&lt;57500</v>
      </c>
      <c r="L27" s="104">
        <f>'ch soc'!L27</f>
        <v>57500</v>
      </c>
      <c r="M27" s="109">
        <f>'ch soc'!M27</f>
        <v>3276</v>
      </c>
      <c r="N27" s="104"/>
      <c r="O27" s="104"/>
      <c r="P27" s="104"/>
      <c r="Q27" s="104"/>
      <c r="R27" s="104"/>
      <c r="S27" s="104"/>
      <c r="T27" s="105"/>
      <c r="U27" s="105"/>
      <c r="V27" s="105"/>
      <c r="W27" s="105"/>
      <c r="X27" s="105"/>
      <c r="Y27" s="105"/>
      <c r="Z27" s="105"/>
      <c r="AA27" s="105"/>
    </row>
    <row r="28" spans="1:27" x14ac:dyDescent="0.2">
      <c r="A28" s="98" t="str">
        <f>'ch soc'!A29</f>
        <v>BASE COTISATIONS SOCIALES</v>
      </c>
      <c r="B28" s="98">
        <f ca="1">IF($B$24+$B$26&lt;$B$8,$B$24*0.9+$B$26*0.9+$B$25+$B$27,($B$24+$B$26-$B$8*0.1+$B$25+$B$27))</f>
        <v>103368.22575613341</v>
      </c>
      <c r="C28" s="98"/>
      <c r="D28" s="98">
        <f ca="1">IF($D$24+$D$26&lt;$B$8,$D$24*0.9+$D$26*0.9+$D$25+$D$27,($D$24+$D$26-$B$8*0.1+$D$25+$D$27))</f>
        <v>104791.15507199084</v>
      </c>
      <c r="E28" s="98"/>
      <c r="F28" s="98"/>
      <c r="G28" s="104"/>
      <c r="H28" s="104"/>
      <c r="I28" s="104"/>
      <c r="J28" s="104" t="str">
        <f>'ch soc'!J28</f>
        <v>CIPAV</v>
      </c>
      <c r="K28" s="104" t="str">
        <f>'ch soc'!K28</f>
        <v>&lt;66000</v>
      </c>
      <c r="L28" s="104">
        <f>'ch soc'!L28</f>
        <v>66000</v>
      </c>
      <c r="M28" s="109">
        <f>'ch soc'!M28</f>
        <v>5460</v>
      </c>
      <c r="N28" s="104"/>
      <c r="O28" s="104"/>
      <c r="P28" s="104"/>
      <c r="Q28" s="104"/>
      <c r="R28" s="104"/>
      <c r="S28" s="104"/>
      <c r="T28" s="105"/>
      <c r="U28" s="105"/>
      <c r="V28" s="105"/>
      <c r="W28" s="105"/>
      <c r="X28" s="105"/>
      <c r="Y28" s="105"/>
      <c r="Z28" s="105"/>
      <c r="AA28" s="105"/>
    </row>
    <row r="29" spans="1:27" x14ac:dyDescent="0.2">
      <c r="C29" s="98"/>
      <c r="D29" s="98"/>
      <c r="E29" s="98"/>
      <c r="F29" s="98"/>
      <c r="G29" s="104"/>
      <c r="H29" s="104"/>
      <c r="I29" s="104"/>
      <c r="J29" s="104" t="str">
        <f>'ch soc'!J29</f>
        <v>CIPAV</v>
      </c>
      <c r="K29" s="104" t="str">
        <f>'ch soc'!K29</f>
        <v>&lt;82560</v>
      </c>
      <c r="L29" s="104">
        <f>'ch soc'!L29</f>
        <v>82560</v>
      </c>
      <c r="M29" s="109">
        <f>'ch soc'!M29</f>
        <v>7644</v>
      </c>
      <c r="N29" s="104"/>
      <c r="O29" s="104"/>
      <c r="P29" s="104"/>
      <c r="Q29" s="104"/>
      <c r="R29" s="104"/>
      <c r="S29" s="104"/>
      <c r="T29" s="105"/>
      <c r="U29" s="105"/>
      <c r="V29" s="105"/>
      <c r="W29" s="105"/>
      <c r="X29" s="105"/>
      <c r="Y29" s="105"/>
      <c r="Z29" s="105"/>
      <c r="AA29" s="105"/>
    </row>
    <row r="30" spans="1:27" x14ac:dyDescent="0.2">
      <c r="A30" s="98"/>
      <c r="B30" s="98"/>
      <c r="C30" s="98"/>
      <c r="D30" s="98"/>
      <c r="E30" s="98"/>
      <c r="F30" s="105"/>
      <c r="G30" s="104"/>
      <c r="H30" s="104"/>
      <c r="I30" s="104"/>
      <c r="J30" s="104" t="str">
        <f>'ch soc'!J30</f>
        <v>CIPAV</v>
      </c>
      <c r="K30" s="104" t="str">
        <f>'ch soc'!K30</f>
        <v>&gt;82560</v>
      </c>
      <c r="L30" s="104">
        <f>'ch soc'!L30</f>
        <v>82560</v>
      </c>
      <c r="M30" s="109">
        <f>'ch soc'!M30</f>
        <v>10920</v>
      </c>
      <c r="N30" s="104"/>
      <c r="O30" s="104"/>
      <c r="P30" s="104"/>
      <c r="Q30" s="104"/>
      <c r="R30" s="104"/>
      <c r="S30" s="104"/>
      <c r="T30" s="105"/>
      <c r="U30" s="105"/>
      <c r="V30" s="105"/>
      <c r="W30" s="105"/>
      <c r="X30" s="105"/>
      <c r="Y30" s="105"/>
      <c r="Z30" s="105"/>
      <c r="AA30" s="105"/>
    </row>
    <row r="31" spans="1:27" x14ac:dyDescent="0.2">
      <c r="A31" s="98" t="str">
        <f>'ch soc'!A31</f>
        <v>COTISATIONS OBLIGATOIRES</v>
      </c>
      <c r="B31" s="98">
        <f ca="1">B60-C61</f>
        <v>29513.987122541206</v>
      </c>
      <c r="C31" s="113"/>
      <c r="D31" s="98">
        <f ca="1">D60-E61</f>
        <v>29697.545004286825</v>
      </c>
      <c r="E31" s="98"/>
      <c r="F31" s="105"/>
      <c r="G31" s="104"/>
      <c r="H31" s="104"/>
      <c r="I31" s="104"/>
      <c r="J31" s="104" t="str">
        <f>'ch soc'!J31</f>
        <v>CARPV</v>
      </c>
      <c r="K31" s="104" t="str">
        <f>'ch soc'!K31</f>
        <v>&lt;60390</v>
      </c>
      <c r="L31" s="104">
        <f>'ch soc'!L31</f>
        <v>60390</v>
      </c>
      <c r="M31" s="109">
        <f>'ch soc'!M31</f>
        <v>6442</v>
      </c>
      <c r="N31" s="104" t="str">
        <f>'ch soc'!N31</f>
        <v>inv deces</v>
      </c>
      <c r="O31" s="104">
        <f>'ch soc'!O31</f>
        <v>403</v>
      </c>
      <c r="P31" s="104"/>
      <c r="Q31" s="104"/>
      <c r="R31" s="104"/>
      <c r="S31" s="104"/>
      <c r="T31" s="105"/>
      <c r="U31" s="105"/>
      <c r="V31" s="105"/>
      <c r="W31" s="105"/>
      <c r="X31" s="105"/>
      <c r="Y31" s="105"/>
      <c r="Z31" s="105"/>
      <c r="AA31" s="105"/>
    </row>
    <row r="32" spans="1:27" x14ac:dyDescent="0.2">
      <c r="A32" s="98"/>
      <c r="B32" s="98"/>
      <c r="C32" s="98"/>
      <c r="D32" s="98"/>
      <c r="E32" s="98"/>
      <c r="F32" s="105"/>
      <c r="G32" s="104"/>
      <c r="H32" s="104"/>
      <c r="I32" s="104"/>
      <c r="J32" s="104"/>
      <c r="K32" s="104" t="str">
        <f>'ch soc'!K32</f>
        <v>&lt;80520</v>
      </c>
      <c r="L32" s="104">
        <f>'ch soc'!L32</f>
        <v>80520</v>
      </c>
      <c r="M32" s="109">
        <f>'ch soc'!M32</f>
        <v>8052</v>
      </c>
      <c r="N32" s="104"/>
      <c r="O32" s="104"/>
      <c r="P32" s="104"/>
      <c r="Q32" s="104"/>
      <c r="R32" s="104"/>
      <c r="S32" s="104"/>
      <c r="T32" s="105"/>
      <c r="U32" s="105"/>
      <c r="V32" s="105"/>
      <c r="W32" s="105"/>
      <c r="X32" s="105"/>
      <c r="Y32" s="105"/>
      <c r="Z32" s="105"/>
      <c r="AA32" s="105"/>
    </row>
    <row r="33" spans="1:27" x14ac:dyDescent="0.2">
      <c r="A33" s="98" t="str">
        <f>'ch soc'!A33</f>
        <v>BASE COTISATIONS CSG</v>
      </c>
      <c r="B33" s="98">
        <f ca="1">B28+B31</f>
        <v>132882.21287867462</v>
      </c>
      <c r="C33" s="98"/>
      <c r="D33" s="98">
        <f ca="1">D28+D31</f>
        <v>134488.70007627766</v>
      </c>
      <c r="E33" s="98"/>
      <c r="F33" s="98"/>
      <c r="G33" s="104"/>
      <c r="H33" s="104"/>
      <c r="I33" s="104"/>
      <c r="J33" s="104"/>
      <c r="K33" s="104" t="str">
        <f>'ch soc'!K33</f>
        <v>&gt;80520</v>
      </c>
      <c r="L33" s="104">
        <f>'ch soc'!L33</f>
        <v>80520</v>
      </c>
      <c r="M33" s="109">
        <f>'ch soc'!M33</f>
        <v>9662</v>
      </c>
      <c r="N33" s="104"/>
      <c r="O33" s="104"/>
      <c r="P33" s="104"/>
      <c r="Q33" s="104"/>
      <c r="R33" s="104"/>
      <c r="S33" s="104"/>
      <c r="T33" s="105"/>
      <c r="U33" s="105"/>
      <c r="V33" s="105"/>
      <c r="W33" s="105"/>
      <c r="X33" s="105"/>
      <c r="Y33" s="105"/>
      <c r="Z33" s="105"/>
      <c r="AA33" s="105"/>
    </row>
    <row r="34" spans="1:27" x14ac:dyDescent="0.2">
      <c r="A34" s="105"/>
      <c r="B34" s="105"/>
      <c r="C34" s="105"/>
      <c r="D34" s="105"/>
      <c r="E34" s="105"/>
      <c r="F34" s="105"/>
      <c r="G34" s="104"/>
      <c r="H34" s="104"/>
      <c r="I34" s="104"/>
      <c r="J34" s="104"/>
      <c r="K34" s="104"/>
      <c r="L34" s="104"/>
      <c r="M34" s="107"/>
      <c r="N34" s="104"/>
      <c r="O34" s="104"/>
      <c r="P34" s="104"/>
      <c r="Q34" s="104"/>
      <c r="R34" s="104"/>
      <c r="S34" s="104"/>
      <c r="T34" s="105"/>
      <c r="U34" s="105"/>
      <c r="V34" s="105"/>
      <c r="W34" s="105"/>
      <c r="X34" s="105"/>
      <c r="Y34" s="105"/>
      <c r="Z34" s="105"/>
      <c r="AA34" s="105"/>
    </row>
    <row r="35" spans="1:27" x14ac:dyDescent="0.2">
      <c r="A35" s="98"/>
      <c r="B35" s="98"/>
      <c r="C35" s="98"/>
      <c r="D35" s="98"/>
      <c r="E35" s="98"/>
      <c r="F35" s="114" t="s">
        <v>110</v>
      </c>
      <c r="G35" s="115"/>
      <c r="H35" s="104"/>
      <c r="I35" s="104"/>
      <c r="J35" s="104" t="str">
        <f>'ch soc'!J35</f>
        <v>CNR</v>
      </c>
      <c r="K35" s="104">
        <f>'ch soc'!K35</f>
        <v>240000</v>
      </c>
      <c r="L35" s="104">
        <f>'ch soc'!L35</f>
        <v>1144941</v>
      </c>
      <c r="M35" s="107">
        <f>'ch soc'!M35</f>
        <v>4.4999999999999998E-2</v>
      </c>
      <c r="N35" s="104" t="str">
        <f>'ch soc'!N35</f>
        <v>complementaire</v>
      </c>
      <c r="O35" s="104"/>
      <c r="P35" s="104"/>
      <c r="Q35" s="104"/>
      <c r="R35" s="104"/>
      <c r="S35" s="104"/>
      <c r="T35" s="105"/>
      <c r="U35" s="105"/>
      <c r="V35" s="105"/>
      <c r="W35" s="105"/>
      <c r="X35" s="105"/>
      <c r="Y35" s="105"/>
      <c r="Z35" s="105"/>
      <c r="AA35" s="105"/>
    </row>
    <row r="36" spans="1:27" x14ac:dyDescent="0.2">
      <c r="A36" s="98"/>
      <c r="B36" s="98"/>
      <c r="C36" s="98"/>
      <c r="D36" s="98"/>
      <c r="E36" s="98"/>
      <c r="F36" s="114"/>
      <c r="G36" s="115"/>
      <c r="H36" s="104"/>
      <c r="I36" s="104"/>
      <c r="J36" s="104"/>
      <c r="K36" s="104"/>
      <c r="L36" s="104"/>
      <c r="M36" s="109">
        <f>'ch soc'!M36</f>
        <v>891</v>
      </c>
      <c r="N36" s="104" t="str">
        <f>'ch soc'!N36</f>
        <v>compl facultative</v>
      </c>
      <c r="O36" s="104"/>
      <c r="P36" s="104"/>
      <c r="Q36" s="104"/>
      <c r="R36" s="104"/>
      <c r="S36" s="104"/>
      <c r="T36" s="105"/>
      <c r="U36" s="105"/>
      <c r="V36" s="105"/>
      <c r="W36" s="105"/>
      <c r="X36" s="105"/>
      <c r="Y36" s="105"/>
      <c r="Z36" s="105"/>
      <c r="AA36" s="105"/>
    </row>
    <row r="37" spans="1:27" x14ac:dyDescent="0.2">
      <c r="A37" s="98"/>
      <c r="B37" s="98"/>
      <c r="C37" s="98"/>
      <c r="D37" s="98"/>
      <c r="E37" s="98"/>
      <c r="F37" s="114"/>
      <c r="G37" s="115"/>
      <c r="H37" s="104"/>
      <c r="I37" s="104"/>
      <c r="J37" s="104" t="str">
        <f>'ch soc'!J37</f>
        <v>CAVOM</v>
      </c>
      <c r="K37" s="104" t="str">
        <f>'ch soc'!K37</f>
        <v>&lt;36000</v>
      </c>
      <c r="L37" s="105">
        <f>'ch soc'!L37</f>
        <v>36000</v>
      </c>
      <c r="M37" s="105">
        <f>'ch soc'!M37</f>
        <v>588</v>
      </c>
      <c r="N37" s="104" t="str">
        <f>'ch soc'!N37</f>
        <v>inv deces  cl2</v>
      </c>
      <c r="O37" s="104">
        <f>'ch soc'!O37</f>
        <v>440</v>
      </c>
      <c r="P37" s="104"/>
      <c r="Q37" s="104"/>
      <c r="R37" s="104"/>
      <c r="S37" s="104"/>
      <c r="T37" s="105"/>
      <c r="U37" s="105"/>
      <c r="V37" s="105"/>
      <c r="W37" s="105"/>
      <c r="X37" s="105"/>
      <c r="Y37" s="105"/>
      <c r="Z37" s="105"/>
      <c r="AA37" s="105"/>
    </row>
    <row r="38" spans="1:27" ht="25.5" x14ac:dyDescent="0.2">
      <c r="A38" s="116" t="str">
        <f>'ch soc'!A37</f>
        <v>ACTIVITE</v>
      </c>
      <c r="B38" s="117" t="str">
        <f>'ch soc'!B37</f>
        <v>CODE</v>
      </c>
      <c r="C38" s="117"/>
      <c r="D38" s="117" t="s">
        <v>121</v>
      </c>
      <c r="E38" s="162" t="s">
        <v>668</v>
      </c>
      <c r="F38" s="162" t="s">
        <v>669</v>
      </c>
      <c r="G38" s="163" t="s">
        <v>670</v>
      </c>
      <c r="H38" s="104"/>
      <c r="I38" s="104"/>
      <c r="J38" s="104"/>
      <c r="K38" s="104" t="str">
        <f>'ch soc'!K38</f>
        <v>&lt;46000</v>
      </c>
      <c r="L38" s="105">
        <f>'ch soc'!L38</f>
        <v>46000</v>
      </c>
      <c r="M38" s="105">
        <f>'ch soc'!M38</f>
        <v>2352</v>
      </c>
      <c r="N38" s="104"/>
      <c r="O38" s="104"/>
      <c r="P38" s="104"/>
      <c r="Q38" s="104"/>
      <c r="R38" s="104"/>
      <c r="S38" s="104"/>
      <c r="T38" s="105"/>
      <c r="U38" s="105"/>
      <c r="V38" s="105"/>
      <c r="W38" s="105"/>
      <c r="X38" s="105"/>
      <c r="Y38" s="105"/>
      <c r="Z38" s="105"/>
      <c r="AA38" s="105"/>
    </row>
    <row r="39" spans="1:27" x14ac:dyDescent="0.2">
      <c r="A39" s="104"/>
      <c r="B39" s="117"/>
      <c r="C39" s="117"/>
      <c r="D39" s="117" t="s">
        <v>112</v>
      </c>
      <c r="E39" s="164">
        <f ca="1">+SUM(B44:B55)</f>
        <v>17569.335612098133</v>
      </c>
      <c r="F39" s="164">
        <f ca="1">+VLOOKUP(E39,B44:C55,2,FALSE)</f>
        <v>3</v>
      </c>
      <c r="G39" s="165" t="str">
        <f ca="1">+VLOOKUP(F39,E42:F53,2,FALSE)</f>
        <v>CAVEC</v>
      </c>
      <c r="H39" s="105"/>
      <c r="I39" s="105"/>
      <c r="J39" s="104"/>
      <c r="K39" s="104" t="str">
        <f>'ch soc'!K39</f>
        <v>&lt;59000</v>
      </c>
      <c r="L39" s="105">
        <f>'ch soc'!L39</f>
        <v>59000</v>
      </c>
      <c r="M39" s="105">
        <f>'ch soc'!M39</f>
        <v>4116</v>
      </c>
      <c r="N39" s="104"/>
      <c r="O39" s="104"/>
      <c r="P39" s="104"/>
      <c r="Q39" s="104"/>
      <c r="R39" s="104"/>
      <c r="S39" s="104"/>
      <c r="T39" s="105"/>
      <c r="U39" s="105"/>
      <c r="V39" s="105"/>
      <c r="W39" s="105"/>
      <c r="X39" s="105"/>
      <c r="Y39" s="105"/>
      <c r="Z39" s="105"/>
      <c r="AA39" s="105"/>
    </row>
    <row r="40" spans="1:27" x14ac:dyDescent="0.2">
      <c r="A40" s="104"/>
      <c r="B40" s="4">
        <f>IF(simulateur!N10=10,1,IF(simulateur!N10=12,2,IF(simulateur!N10=14,3,IF(simulateur!N10=15,4,IF(simulateur!N10=16,5,0)))))</f>
        <v>0</v>
      </c>
      <c r="C40" s="117"/>
      <c r="D40" s="4">
        <f>IF(simulateur!N10=10,1,IF(simulateur!N10=12,2,IF(simulateur!N10=14,3,IF(simulateur!N10=15,4,IF(simulateur!N10=16,5,0)))))</f>
        <v>0</v>
      </c>
      <c r="E40" s="156"/>
      <c r="F40" s="156"/>
      <c r="G40" s="157"/>
      <c r="H40" s="105"/>
      <c r="I40" s="105"/>
      <c r="J40" s="104"/>
      <c r="K40" s="104" t="str">
        <f>'ch soc'!K40</f>
        <v>&lt;67000</v>
      </c>
      <c r="L40" s="105">
        <f>'ch soc'!L40</f>
        <v>67000</v>
      </c>
      <c r="M40" s="105">
        <f>'ch soc'!M40</f>
        <v>5880</v>
      </c>
      <c r="N40" s="104"/>
      <c r="O40" s="104"/>
      <c r="P40" s="104"/>
      <c r="Q40" s="104"/>
      <c r="R40" s="104" t="str">
        <f>'ch soc'!R46</f>
        <v>ASV</v>
      </c>
      <c r="S40" s="104">
        <f>'ch soc'!S46</f>
        <v>438</v>
      </c>
      <c r="T40" s="105"/>
      <c r="U40" s="105"/>
      <c r="V40" s="105"/>
      <c r="W40" s="105"/>
      <c r="X40" s="105"/>
      <c r="Y40" s="105"/>
      <c r="Z40" s="105"/>
      <c r="AA40" s="105"/>
    </row>
    <row r="41" spans="1:27" x14ac:dyDescent="0.2">
      <c r="A41" s="104"/>
      <c r="B41" s="104"/>
      <c r="C41" s="104"/>
      <c r="D41" s="104"/>
      <c r="E41" s="156"/>
      <c r="F41" s="156"/>
      <c r="G41" s="157"/>
      <c r="H41" s="105"/>
      <c r="I41" s="105"/>
      <c r="J41" s="104"/>
      <c r="K41" s="104" t="str">
        <f>'ch soc'!K41</f>
        <v>&lt;76000</v>
      </c>
      <c r="L41" s="105">
        <f>'ch soc'!L41</f>
        <v>76000</v>
      </c>
      <c r="M41" s="105">
        <f>'ch soc'!M41</f>
        <v>8232</v>
      </c>
      <c r="N41" s="104"/>
      <c r="O41" s="104"/>
      <c r="P41" s="104"/>
      <c r="Q41" s="104"/>
      <c r="R41" s="104" t="str">
        <f>'ch soc'!R47</f>
        <v>ASV prop</v>
      </c>
      <c r="S41" s="104"/>
      <c r="T41" s="105"/>
      <c r="U41" s="105"/>
      <c r="V41" s="105"/>
      <c r="W41" s="105"/>
      <c r="X41" s="105"/>
      <c r="Y41" s="105"/>
      <c r="Z41" s="105"/>
      <c r="AA41" s="105"/>
    </row>
    <row r="42" spans="1:27" x14ac:dyDescent="0.2">
      <c r="A42" s="112" t="str">
        <f>'ch soc'!A41</f>
        <v>URSSAF</v>
      </c>
      <c r="B42" s="104">
        <f ca="1">IF(B40=1,E84,IF(B40=5,C71+E83,C71))</f>
        <v>16264.391221125174</v>
      </c>
      <c r="C42" s="104"/>
      <c r="D42" s="104">
        <f ca="1">IF(D40=1,O84,IF(D40=5,M71+O83,M71))</f>
        <v>16469.748379989716</v>
      </c>
      <c r="E42" s="158">
        <v>1</v>
      </c>
      <c r="F42" s="159" t="s">
        <v>57</v>
      </c>
      <c r="G42" s="157"/>
      <c r="H42" s="105"/>
      <c r="I42" s="105"/>
      <c r="J42" s="104"/>
      <c r="K42" s="104" t="str">
        <f>'ch soc'!K42</f>
        <v>&gt;76000</v>
      </c>
      <c r="L42" s="105">
        <f>'ch soc'!L42</f>
        <v>76000</v>
      </c>
      <c r="M42" s="105">
        <f>'ch soc'!M42</f>
        <v>11760</v>
      </c>
      <c r="N42" s="104"/>
      <c r="O42" s="104"/>
      <c r="P42" s="104"/>
      <c r="Q42" s="104"/>
      <c r="R42" s="104" t="str">
        <f>'ch soc'!R48</f>
        <v>ASV</v>
      </c>
      <c r="S42" s="104">
        <f>'ch soc'!S48</f>
        <v>229</v>
      </c>
      <c r="T42" s="105"/>
      <c r="U42" s="105"/>
      <c r="V42" s="105"/>
      <c r="W42" s="105"/>
      <c r="X42" s="105"/>
      <c r="Y42" s="105"/>
      <c r="Z42" s="105"/>
      <c r="AA42" s="105"/>
    </row>
    <row r="43" spans="1:27" x14ac:dyDescent="0.2">
      <c r="A43" s="104"/>
      <c r="B43" s="104"/>
      <c r="C43" s="104"/>
      <c r="D43" s="104"/>
      <c r="E43" s="158">
        <v>2</v>
      </c>
      <c r="F43" s="159" t="s">
        <v>650</v>
      </c>
      <c r="G43" s="157"/>
      <c r="H43" s="105"/>
      <c r="I43" s="105"/>
      <c r="J43" s="104"/>
      <c r="K43" s="104"/>
      <c r="L43" s="104"/>
      <c r="M43" s="104"/>
      <c r="N43" s="104"/>
      <c r="O43" s="104"/>
      <c r="P43" s="104"/>
      <c r="Q43" s="104"/>
      <c r="R43" s="104"/>
      <c r="S43" s="104"/>
      <c r="T43" s="105"/>
      <c r="U43" s="105"/>
      <c r="V43" s="105"/>
      <c r="W43" s="105"/>
      <c r="X43" s="105"/>
      <c r="Y43" s="105"/>
      <c r="Z43" s="105"/>
      <c r="AA43" s="105"/>
    </row>
    <row r="44" spans="1:27" x14ac:dyDescent="0.2">
      <c r="A44" s="104" t="str">
        <f>'ch soc'!A43</f>
        <v xml:space="preserve">  cipav</v>
      </c>
      <c r="B44" s="104">
        <f>IF(simulateur!N10=1,C111,0)</f>
        <v>0</v>
      </c>
      <c r="C44" s="3">
        <v>1</v>
      </c>
      <c r="D44" s="104">
        <f>IF(simulateur!N10=1,AC111,0)</f>
        <v>0</v>
      </c>
      <c r="E44" s="158">
        <v>3</v>
      </c>
      <c r="F44" s="159" t="s">
        <v>64</v>
      </c>
      <c r="G44" s="157"/>
      <c r="H44" s="105"/>
      <c r="I44" s="105"/>
      <c r="J44" s="104"/>
      <c r="K44" s="104"/>
      <c r="L44" s="104"/>
      <c r="M44" s="104"/>
      <c r="N44" s="104"/>
      <c r="O44" s="104"/>
      <c r="P44" s="104"/>
      <c r="Q44" s="104"/>
      <c r="R44" s="104"/>
      <c r="S44" s="104"/>
      <c r="T44" s="105"/>
      <c r="U44" s="105"/>
      <c r="V44" s="105"/>
      <c r="W44" s="105"/>
      <c r="X44" s="105"/>
      <c r="Y44" s="105"/>
      <c r="Z44" s="105"/>
      <c r="AA44" s="105"/>
    </row>
    <row r="45" spans="1:27" x14ac:dyDescent="0.2">
      <c r="A45" s="104" t="str">
        <f>'ch soc'!A44</f>
        <v xml:space="preserve">  cnbf</v>
      </c>
      <c r="B45" s="104">
        <f>IF(simulateur!N10=2,E111,0)</f>
        <v>0</v>
      </c>
      <c r="C45" s="3">
        <v>2</v>
      </c>
      <c r="D45" s="104">
        <f>IF(simulateur!N10=2,AE111,0)</f>
        <v>0</v>
      </c>
      <c r="E45" s="158">
        <v>4</v>
      </c>
      <c r="F45" s="159" t="s">
        <v>212</v>
      </c>
      <c r="G45" s="157"/>
      <c r="H45" s="105"/>
      <c r="I45" s="105"/>
      <c r="J45" s="104" t="str">
        <f>'ch soc'!J45</f>
        <v>CAVP</v>
      </c>
      <c r="K45" s="104"/>
      <c r="L45" s="105"/>
      <c r="M45" s="105"/>
      <c r="N45" s="105" t="str">
        <f>'ch soc'!N45</f>
        <v>classe 1</v>
      </c>
      <c r="O45" s="105">
        <f>'ch soc'!O45</f>
        <v>4880</v>
      </c>
      <c r="P45" s="105"/>
      <c r="Q45" s="105"/>
      <c r="R45" s="105"/>
      <c r="S45" s="105"/>
      <c r="T45" s="105"/>
      <c r="U45" s="105"/>
      <c r="V45" s="105"/>
      <c r="W45" s="105"/>
      <c r="X45" s="105"/>
      <c r="Y45" s="105"/>
      <c r="Z45" s="105"/>
      <c r="AA45" s="105"/>
    </row>
    <row r="46" spans="1:27" x14ac:dyDescent="0.2">
      <c r="A46" s="104" t="str">
        <f>'ch soc'!A45</f>
        <v>carpimko</v>
      </c>
      <c r="B46" s="104">
        <f>IF(simulateur!N10=14,G111,0)</f>
        <v>0</v>
      </c>
      <c r="C46" s="3">
        <v>14</v>
      </c>
      <c r="D46" s="104">
        <f>IF(simulateur!N10=14,AG111,0)</f>
        <v>0</v>
      </c>
      <c r="E46" s="158">
        <v>5</v>
      </c>
      <c r="F46" s="159" t="s">
        <v>215</v>
      </c>
      <c r="G46" s="157"/>
      <c r="H46" s="105"/>
      <c r="I46" s="105"/>
      <c r="J46" s="104" t="str">
        <f>'ch soc'!J46</f>
        <v>CAVP</v>
      </c>
      <c r="K46" s="104"/>
      <c r="L46" s="105"/>
      <c r="M46" s="105"/>
      <c r="N46" s="105" t="str">
        <f>'ch soc'!N46</f>
        <v>inv deces</v>
      </c>
      <c r="O46" s="105">
        <f>'ch soc'!O46</f>
        <v>544</v>
      </c>
      <c r="P46" s="105"/>
      <c r="Q46" s="105"/>
      <c r="R46" s="105" t="str">
        <f>'ch soc'!R46</f>
        <v>ASV</v>
      </c>
      <c r="S46" s="105">
        <f>'ch soc'!S46</f>
        <v>438</v>
      </c>
      <c r="T46" s="105"/>
      <c r="U46" s="105"/>
      <c r="V46" s="105"/>
      <c r="W46" s="105"/>
      <c r="X46" s="105"/>
      <c r="Y46" s="105"/>
      <c r="Z46" s="105"/>
      <c r="AA46" s="105"/>
    </row>
    <row r="47" spans="1:27" x14ac:dyDescent="0.2">
      <c r="A47" s="104" t="str">
        <f>'ch soc'!A46</f>
        <v>card</v>
      </c>
      <c r="B47" s="104">
        <f>IF(simulateur!N10=12,I111,0)</f>
        <v>0</v>
      </c>
      <c r="C47" s="3">
        <v>12</v>
      </c>
      <c r="D47" s="104">
        <f>IF(simulateur!N10=12,AI111,0)</f>
        <v>0</v>
      </c>
      <c r="E47" s="158">
        <v>10</v>
      </c>
      <c r="F47" s="159" t="s">
        <v>65</v>
      </c>
      <c r="G47" s="157"/>
      <c r="H47" s="105"/>
      <c r="I47" s="105"/>
      <c r="J47" s="104"/>
      <c r="K47" s="104"/>
      <c r="L47" s="105"/>
      <c r="M47" s="105"/>
      <c r="N47" s="105"/>
      <c r="O47" s="105"/>
      <c r="P47" s="105"/>
      <c r="Q47" s="105"/>
      <c r="R47" s="105" t="str">
        <f>'ch soc'!R47</f>
        <v>ASV prop</v>
      </c>
      <c r="S47" s="107">
        <f>'ch soc'!S47</f>
        <v>1.5E-3</v>
      </c>
      <c r="T47" s="105"/>
      <c r="U47" s="105"/>
      <c r="V47" s="105"/>
      <c r="W47" s="105"/>
      <c r="X47" s="105"/>
      <c r="Y47" s="105"/>
      <c r="Z47" s="105"/>
      <c r="AA47" s="105"/>
    </row>
    <row r="48" spans="1:27" x14ac:dyDescent="0.2">
      <c r="A48" s="104" t="str">
        <f>'ch soc'!A47</f>
        <v xml:space="preserve">  cavec</v>
      </c>
      <c r="B48" s="104">
        <f ca="1">IF(simulateur!N10=3,K111,0)</f>
        <v>17569.335612098133</v>
      </c>
      <c r="C48" s="3">
        <v>3</v>
      </c>
      <c r="D48" s="104">
        <f ca="1">IF(simulateur!N10=3,AK111,0)</f>
        <v>17592.102481151855</v>
      </c>
      <c r="E48" s="158">
        <v>11</v>
      </c>
      <c r="F48" s="159" t="s">
        <v>67</v>
      </c>
      <c r="G48" s="157"/>
      <c r="H48" s="105"/>
      <c r="I48" s="105"/>
      <c r="J48" s="104" t="str">
        <f>'ch soc'!J48</f>
        <v>SAGE FEMME</v>
      </c>
      <c r="K48" s="104"/>
      <c r="L48" s="105"/>
      <c r="M48" s="105"/>
      <c r="N48" s="105" t="str">
        <f>'ch soc'!N48</f>
        <v>inv deces</v>
      </c>
      <c r="O48" s="105">
        <f>'ch soc'!O48</f>
        <v>98</v>
      </c>
      <c r="P48" s="105"/>
      <c r="Q48" s="105"/>
      <c r="R48" s="105" t="str">
        <f>'ch soc'!R48</f>
        <v>ASV</v>
      </c>
      <c r="S48" s="105">
        <f>'ch soc'!S48</f>
        <v>229</v>
      </c>
      <c r="T48" s="105"/>
      <c r="U48" s="105"/>
      <c r="V48" s="105"/>
      <c r="W48" s="105"/>
      <c r="X48" s="105"/>
      <c r="Y48" s="105"/>
      <c r="Z48" s="105"/>
      <c r="AA48" s="105"/>
    </row>
    <row r="49" spans="1:27" x14ac:dyDescent="0.2">
      <c r="A49" s="104" t="str">
        <f>'ch soc'!A48</f>
        <v>carmf</v>
      </c>
      <c r="B49" s="104">
        <f>IF(simulateur!N10=10,M111,IF(simulateur!N10=16,AO111,0))</f>
        <v>0</v>
      </c>
      <c r="C49" s="3">
        <v>10</v>
      </c>
      <c r="D49" s="104">
        <f>IF(simulateur!N10=10,AM111,IF(simulateur!N10=16,AO111,0))</f>
        <v>0</v>
      </c>
      <c r="E49" s="158">
        <v>12</v>
      </c>
      <c r="F49" s="159" t="s">
        <v>652</v>
      </c>
      <c r="G49" s="157"/>
      <c r="H49" s="105"/>
      <c r="I49" s="105"/>
      <c r="J49" s="104"/>
      <c r="K49" s="105"/>
      <c r="L49" s="105"/>
      <c r="M49" s="105"/>
      <c r="N49" s="105"/>
      <c r="O49" s="105"/>
      <c r="P49" s="105"/>
      <c r="Q49" s="105"/>
      <c r="R49" s="105"/>
      <c r="S49" s="105"/>
      <c r="T49" s="105"/>
      <c r="U49" s="105"/>
      <c r="V49" s="105"/>
      <c r="W49" s="105"/>
      <c r="X49" s="105"/>
      <c r="Y49" s="105"/>
      <c r="Z49" s="105"/>
      <c r="AA49" s="105"/>
    </row>
    <row r="50" spans="1:27" x14ac:dyDescent="0.2">
      <c r="A50" s="104"/>
      <c r="B50" s="118"/>
      <c r="C50" s="3"/>
      <c r="D50" s="104"/>
      <c r="E50" s="158">
        <v>13</v>
      </c>
      <c r="F50" s="159" t="s">
        <v>209</v>
      </c>
      <c r="G50" s="157"/>
      <c r="H50" s="105"/>
      <c r="I50" s="105"/>
      <c r="J50" s="105"/>
      <c r="K50" s="105"/>
      <c r="L50" s="105"/>
      <c r="M50" s="105"/>
      <c r="N50" s="105"/>
      <c r="O50" s="105"/>
      <c r="P50" s="105"/>
      <c r="Q50" s="105"/>
      <c r="R50" s="105"/>
      <c r="S50" s="105"/>
      <c r="T50" s="105"/>
      <c r="U50" s="105"/>
      <c r="V50" s="105"/>
      <c r="W50" s="105"/>
      <c r="X50" s="105"/>
      <c r="Y50" s="105"/>
      <c r="Z50" s="105"/>
      <c r="AA50" s="105"/>
    </row>
    <row r="51" spans="1:27" x14ac:dyDescent="0.2">
      <c r="A51" s="104" t="str">
        <f>'ch soc'!A50</f>
        <v>cavp</v>
      </c>
      <c r="B51" s="104">
        <f>IF(simulateur!N10=11,Q111,0)</f>
        <v>0</v>
      </c>
      <c r="C51" s="3">
        <v>11</v>
      </c>
      <c r="D51" s="104">
        <f>IF(simulateur!N10=11,AQ111,0)</f>
        <v>0</v>
      </c>
      <c r="E51" s="158">
        <v>14</v>
      </c>
      <c r="F51" s="159" t="s">
        <v>61</v>
      </c>
      <c r="G51" s="157"/>
      <c r="H51" s="105"/>
      <c r="I51" s="105"/>
      <c r="J51" s="105"/>
      <c r="K51" s="105"/>
      <c r="L51" s="105"/>
      <c r="M51" s="105"/>
      <c r="N51" s="105"/>
      <c r="O51" s="105"/>
      <c r="P51" s="105"/>
      <c r="Q51" s="105"/>
      <c r="R51" s="105"/>
      <c r="S51" s="105"/>
      <c r="T51" s="105"/>
      <c r="U51" s="105"/>
      <c r="V51" s="105"/>
      <c r="W51" s="105"/>
      <c r="X51" s="105"/>
      <c r="Y51" s="105"/>
      <c r="Z51" s="105"/>
      <c r="AA51" s="105"/>
    </row>
    <row r="52" spans="1:27" x14ac:dyDescent="0.2">
      <c r="A52" s="104" t="str">
        <f>'ch soc'!A51</f>
        <v>caecdsf</v>
      </c>
      <c r="B52" s="104">
        <f>IF(simulateur!N10=15,S111,0)</f>
        <v>0</v>
      </c>
      <c r="C52" s="3">
        <v>15</v>
      </c>
      <c r="D52" s="104">
        <f>IF(simulateur!N10=15,AS111,0)</f>
        <v>0</v>
      </c>
      <c r="E52" s="158">
        <v>15</v>
      </c>
      <c r="F52" s="159" t="s">
        <v>652</v>
      </c>
      <c r="G52" s="157"/>
      <c r="H52" s="105"/>
      <c r="I52" s="105"/>
      <c r="J52" s="105"/>
      <c r="K52" s="105"/>
      <c r="L52" s="105"/>
      <c r="M52" s="105"/>
      <c r="N52" s="105"/>
      <c r="O52" s="105"/>
      <c r="P52" s="105"/>
      <c r="Q52" s="105"/>
      <c r="R52" s="105"/>
      <c r="S52" s="105"/>
      <c r="T52" s="105"/>
      <c r="U52" s="105"/>
      <c r="V52" s="105"/>
      <c r="W52" s="105"/>
      <c r="X52" s="105"/>
      <c r="Y52" s="105"/>
      <c r="Z52" s="105"/>
      <c r="AA52" s="105"/>
    </row>
    <row r="53" spans="1:27" x14ac:dyDescent="0.2">
      <c r="A53" s="104" t="str">
        <f>'ch soc'!A52</f>
        <v>carvp</v>
      </c>
      <c r="B53" s="104">
        <f>IF(simulateur!N10=13,U111,0)</f>
        <v>0</v>
      </c>
      <c r="C53" s="3">
        <v>13</v>
      </c>
      <c r="D53" s="104">
        <f>IF(simulateur!N10=13,AU111,0)</f>
        <v>0</v>
      </c>
      <c r="E53" s="158">
        <v>16</v>
      </c>
      <c r="F53" s="159" t="s">
        <v>65</v>
      </c>
      <c r="G53" s="156"/>
      <c r="H53" s="105"/>
      <c r="I53" s="105"/>
      <c r="J53" s="105"/>
      <c r="K53" s="105"/>
      <c r="L53" s="105"/>
      <c r="M53" s="105"/>
      <c r="N53" s="105"/>
      <c r="O53" s="105"/>
      <c r="P53" s="105"/>
      <c r="Q53" s="105"/>
      <c r="R53" s="105"/>
      <c r="S53" s="105"/>
      <c r="T53" s="105"/>
      <c r="U53" s="105"/>
      <c r="V53" s="105"/>
      <c r="W53" s="105"/>
      <c r="X53" s="105"/>
      <c r="Y53" s="105"/>
      <c r="Z53" s="105"/>
      <c r="AA53" s="105"/>
    </row>
    <row r="54" spans="1:27" x14ac:dyDescent="0.2">
      <c r="A54" s="104" t="str">
        <f>'ch soc'!A53</f>
        <v xml:space="preserve">  cnr</v>
      </c>
      <c r="B54" s="104">
        <f>IF(simulateur!N10=4,W111,0)</f>
        <v>0</v>
      </c>
      <c r="C54" s="3">
        <v>4</v>
      </c>
      <c r="D54" s="104">
        <f>IF(simulateur!N10=4,AW111,0)</f>
        <v>0</v>
      </c>
      <c r="E54" s="104"/>
      <c r="F54" s="104"/>
      <c r="G54" s="105"/>
      <c r="H54" s="105"/>
      <c r="I54" s="105"/>
      <c r="J54" s="105"/>
      <c r="K54" s="105"/>
      <c r="L54" s="105"/>
      <c r="M54" s="105"/>
      <c r="N54" s="105"/>
      <c r="O54" s="105"/>
      <c r="P54" s="105"/>
      <c r="Q54" s="105"/>
      <c r="R54" s="105"/>
      <c r="S54" s="105"/>
      <c r="T54" s="105"/>
      <c r="U54" s="105"/>
      <c r="V54" s="105"/>
      <c r="W54" s="105"/>
      <c r="X54" s="105"/>
      <c r="Y54" s="105"/>
      <c r="Z54" s="105"/>
      <c r="AA54" s="105"/>
    </row>
    <row r="55" spans="1:27" x14ac:dyDescent="0.2">
      <c r="A55" s="104" t="str">
        <f>'ch soc'!A54</f>
        <v xml:space="preserve">  cavom</v>
      </c>
      <c r="B55" s="104">
        <f>IF(simulateur!N10=5,Y111,0)</f>
        <v>0</v>
      </c>
      <c r="C55" s="3">
        <v>5</v>
      </c>
      <c r="D55" s="104">
        <f>IF(simulateur!N10=5,AY111,0)</f>
        <v>0</v>
      </c>
      <c r="E55" s="104"/>
      <c r="F55" s="104"/>
      <c r="G55" s="114"/>
      <c r="H55" s="105"/>
      <c r="I55" s="105"/>
      <c r="J55" s="105"/>
      <c r="K55" s="105"/>
      <c r="L55" s="105"/>
      <c r="M55" s="105"/>
      <c r="N55" s="105"/>
      <c r="O55" s="105"/>
      <c r="P55" s="105"/>
      <c r="Q55" s="105"/>
      <c r="R55" s="105"/>
      <c r="S55" s="105"/>
      <c r="T55" s="105"/>
      <c r="U55" s="105"/>
      <c r="V55" s="105"/>
      <c r="W55" s="105"/>
      <c r="X55" s="105"/>
      <c r="Y55" s="105"/>
      <c r="Z55" s="105"/>
      <c r="AA55" s="105"/>
    </row>
    <row r="56" spans="1:27" x14ac:dyDescent="0.2">
      <c r="A56" s="104"/>
      <c r="B56" s="104"/>
      <c r="C56" s="104"/>
      <c r="D56" s="104"/>
      <c r="E56" s="104"/>
      <c r="F56" s="104"/>
      <c r="G56" s="105"/>
      <c r="H56" s="105"/>
      <c r="I56" s="105"/>
      <c r="J56" s="105"/>
      <c r="K56" s="105"/>
      <c r="L56" s="105"/>
      <c r="M56" s="105"/>
      <c r="N56" s="105"/>
      <c r="O56" s="105"/>
      <c r="P56" s="105"/>
      <c r="Q56" s="105"/>
      <c r="R56" s="105"/>
      <c r="S56" s="105"/>
      <c r="T56" s="105"/>
      <c r="U56" s="105"/>
      <c r="V56" s="105"/>
      <c r="W56" s="105"/>
      <c r="X56" s="105"/>
      <c r="Y56" s="105"/>
      <c r="Z56" s="105"/>
      <c r="AA56" s="105"/>
    </row>
    <row r="57" spans="1:27" x14ac:dyDescent="0.2">
      <c r="A57" s="104"/>
      <c r="B57" s="104"/>
      <c r="C57" s="104"/>
      <c r="D57" s="104"/>
      <c r="E57" s="104"/>
      <c r="F57" s="104"/>
      <c r="G57" s="105"/>
      <c r="H57" s="105"/>
      <c r="I57" s="105"/>
      <c r="J57" s="105"/>
      <c r="K57" s="105"/>
      <c r="L57" s="105"/>
      <c r="M57" s="105"/>
      <c r="N57" s="105"/>
      <c r="O57" s="105"/>
      <c r="P57" s="105"/>
      <c r="Q57" s="105"/>
      <c r="R57" s="105"/>
      <c r="S57" s="105"/>
      <c r="T57" s="105"/>
      <c r="U57" s="105"/>
      <c r="V57" s="105"/>
      <c r="W57" s="105"/>
      <c r="X57" s="105"/>
      <c r="Y57" s="105"/>
      <c r="Z57" s="105"/>
      <c r="AA57" s="105"/>
    </row>
    <row r="58" spans="1:27" x14ac:dyDescent="0.2">
      <c r="A58" s="104" t="str">
        <f>'ch soc'!A57</f>
        <v>ASSMALADIE</v>
      </c>
      <c r="B58" s="104">
        <f ca="1">IF(B40&gt;0,IF(B40&lt;5,E141,E130),E130)</f>
        <v>6310.837319611871</v>
      </c>
      <c r="C58" s="104"/>
      <c r="D58" s="104">
        <f ca="1">IF(D40&gt;0,IF(D40&lt;5,M141,M130),M130)</f>
        <v>6394.7901492474593</v>
      </c>
      <c r="E58" s="104"/>
      <c r="F58" s="104"/>
      <c r="G58" s="114"/>
      <c r="H58" s="105"/>
      <c r="I58" s="105"/>
      <c r="J58" s="105"/>
      <c r="K58" s="105"/>
      <c r="L58" s="105"/>
      <c r="M58" s="105"/>
      <c r="N58" s="105"/>
      <c r="O58" s="105"/>
      <c r="P58" s="105"/>
      <c r="Q58" s="105"/>
      <c r="R58" s="105"/>
      <c r="S58" s="105"/>
      <c r="T58" s="105"/>
      <c r="U58" s="105"/>
      <c r="V58" s="105"/>
      <c r="W58" s="105"/>
      <c r="X58" s="105"/>
      <c r="Y58" s="105"/>
      <c r="Z58" s="105"/>
      <c r="AA58" s="105"/>
    </row>
    <row r="59" spans="1:27" x14ac:dyDescent="0.2">
      <c r="A59" s="104"/>
      <c r="B59" s="104"/>
      <c r="C59" s="104"/>
      <c r="D59" s="104"/>
      <c r="E59" s="104"/>
      <c r="F59" s="104"/>
      <c r="G59" s="114"/>
      <c r="H59" s="105"/>
      <c r="I59" s="105"/>
      <c r="J59" s="105"/>
      <c r="K59" s="105"/>
      <c r="L59" s="105"/>
      <c r="M59" s="105"/>
      <c r="N59" s="105"/>
      <c r="O59" s="105"/>
      <c r="P59" s="105"/>
      <c r="Q59" s="105"/>
      <c r="R59" s="105"/>
      <c r="S59" s="105"/>
      <c r="T59" s="105"/>
      <c r="U59" s="105"/>
      <c r="V59" s="105"/>
      <c r="W59" s="105"/>
      <c r="X59" s="105"/>
      <c r="Y59" s="105"/>
      <c r="Z59" s="105"/>
      <c r="AA59" s="105"/>
    </row>
    <row r="60" spans="1:27" ht="13.5" customHeight="1" x14ac:dyDescent="0.2">
      <c r="A60" s="119" t="str">
        <f>'ch soc'!A59</f>
        <v>TOTAL</v>
      </c>
      <c r="B60" s="116">
        <f ca="1">SUM(B42:B58)</f>
        <v>40144.564152835177</v>
      </c>
      <c r="C60" s="104"/>
      <c r="D60" s="116">
        <f ca="1">SUM(D42:D58)</f>
        <v>40456.641010389038</v>
      </c>
      <c r="E60" s="104"/>
      <c r="F60" s="104"/>
      <c r="G60" s="114"/>
      <c r="H60" s="105"/>
      <c r="I60" s="105"/>
      <c r="J60" s="105"/>
      <c r="K60" s="105"/>
      <c r="L60" s="105"/>
      <c r="M60" s="105"/>
      <c r="N60" s="105"/>
      <c r="O60" s="105"/>
      <c r="P60" s="105"/>
      <c r="Q60" s="105"/>
      <c r="R60" s="105"/>
      <c r="S60" s="105"/>
      <c r="T60" s="105"/>
      <c r="U60" s="105"/>
      <c r="V60" s="105"/>
      <c r="W60" s="105"/>
      <c r="X60" s="105"/>
      <c r="Y60" s="105"/>
      <c r="Z60" s="105"/>
      <c r="AA60" s="105"/>
    </row>
    <row r="61" spans="1:27" x14ac:dyDescent="0.2">
      <c r="A61" s="120" t="str">
        <f>'ch soc'!A60</f>
        <v>dont csg/crds</v>
      </c>
      <c r="B61" s="104"/>
      <c r="C61" s="104">
        <f ca="1">C69</f>
        <v>10630.577030293969</v>
      </c>
      <c r="D61" s="120" t="s">
        <v>267</v>
      </c>
      <c r="E61" s="104">
        <f ca="1">M69</f>
        <v>10759.096006102212</v>
      </c>
      <c r="F61" s="104"/>
      <c r="G61" s="114"/>
      <c r="H61" s="105"/>
      <c r="I61" s="105"/>
      <c r="J61" s="105"/>
      <c r="K61" s="105"/>
      <c r="L61" s="105"/>
      <c r="M61" s="105"/>
      <c r="N61" s="105"/>
      <c r="O61" s="105"/>
      <c r="P61" s="105"/>
      <c r="Q61" s="105"/>
      <c r="R61" s="105"/>
      <c r="S61" s="105"/>
      <c r="T61" s="105"/>
      <c r="U61" s="105"/>
      <c r="V61" s="105"/>
      <c r="W61" s="105"/>
      <c r="X61" s="105"/>
      <c r="Y61" s="105"/>
      <c r="Z61" s="105"/>
      <c r="AA61" s="105"/>
    </row>
    <row r="62" spans="1:27" x14ac:dyDescent="0.2">
      <c r="A62" s="104" t="s">
        <v>581</v>
      </c>
      <c r="B62" s="104"/>
      <c r="C62" s="104">
        <f ca="1">C61*5.1/8</f>
        <v>6776.9928568124051</v>
      </c>
      <c r="D62" s="104" t="s">
        <v>581</v>
      </c>
      <c r="E62" s="104">
        <f ca="1">M69*5.1/8</f>
        <v>6858.9237038901601</v>
      </c>
      <c r="F62" s="104"/>
      <c r="G62" s="114"/>
      <c r="H62" s="105"/>
      <c r="I62" s="105"/>
      <c r="J62" s="105"/>
      <c r="K62" s="105"/>
      <c r="L62" s="105"/>
      <c r="M62" s="105"/>
      <c r="N62" s="105"/>
      <c r="O62" s="105"/>
      <c r="P62" s="105"/>
      <c r="Q62" s="105"/>
      <c r="R62" s="105"/>
      <c r="S62" s="105"/>
      <c r="T62" s="105"/>
      <c r="U62" s="105"/>
      <c r="V62" s="105"/>
      <c r="W62" s="105"/>
      <c r="X62" s="105"/>
      <c r="Y62" s="105"/>
      <c r="Z62" s="105"/>
      <c r="AA62" s="105"/>
    </row>
    <row r="63" spans="1:27" ht="27" customHeight="1" x14ac:dyDescent="0.2">
      <c r="A63" s="105" t="s">
        <v>582</v>
      </c>
      <c r="B63" s="105"/>
      <c r="C63" s="104">
        <f ca="1">C61*2.9/8</f>
        <v>3853.5841734815635</v>
      </c>
      <c r="D63" s="105" t="s">
        <v>583</v>
      </c>
      <c r="E63" s="104">
        <f ca="1">M69*2.9/8</f>
        <v>3900.1723022120518</v>
      </c>
      <c r="F63" s="105"/>
      <c r="G63" s="105"/>
      <c r="H63" s="105"/>
      <c r="I63" s="105"/>
      <c r="J63" s="105"/>
      <c r="K63" s="105"/>
      <c r="L63" s="105"/>
      <c r="M63" s="105"/>
      <c r="N63" s="105"/>
      <c r="O63" s="105"/>
      <c r="P63" s="105"/>
      <c r="Q63" s="105"/>
      <c r="R63" s="105"/>
      <c r="S63" s="105"/>
      <c r="T63" s="105"/>
      <c r="U63" s="105"/>
      <c r="V63" s="105"/>
      <c r="W63" s="105"/>
      <c r="X63" s="105"/>
      <c r="Y63" s="105"/>
      <c r="Z63" s="105"/>
      <c r="AA63" s="105"/>
    </row>
    <row r="64" spans="1:27" x14ac:dyDescent="0.2">
      <c r="A64" s="91" t="str">
        <f>'ch soc'!A63:G63</f>
        <v>Allocations Familliales sauf Médecins du secteurs 1</v>
      </c>
      <c r="B64" s="92"/>
      <c r="C64" s="92"/>
      <c r="D64" s="92"/>
      <c r="E64" s="92"/>
      <c r="F64" s="92"/>
      <c r="G64" s="92"/>
      <c r="H64" s="121"/>
      <c r="I64" s="122"/>
      <c r="J64" s="105"/>
      <c r="K64" s="91" t="s">
        <v>125</v>
      </c>
      <c r="L64" s="92"/>
      <c r="M64" s="92"/>
      <c r="N64" s="92"/>
      <c r="O64" s="92"/>
      <c r="P64" s="92"/>
      <c r="Q64" s="92"/>
      <c r="R64" s="121"/>
      <c r="S64" s="122"/>
      <c r="T64" s="105"/>
      <c r="U64" s="105"/>
      <c r="V64" s="105"/>
      <c r="W64" s="105"/>
      <c r="X64" s="105"/>
      <c r="Y64" s="105"/>
      <c r="Z64" s="105"/>
      <c r="AA64" s="105"/>
    </row>
    <row r="65" spans="1:27" x14ac:dyDescent="0.2">
      <c r="A65" s="123"/>
      <c r="B65" s="98"/>
      <c r="C65" s="98"/>
      <c r="D65" s="98"/>
      <c r="E65" s="98"/>
      <c r="F65" s="98"/>
      <c r="G65" s="98"/>
      <c r="H65" s="98"/>
      <c r="I65" s="124"/>
      <c r="J65" s="105"/>
      <c r="K65" s="123"/>
      <c r="L65" s="98"/>
      <c r="M65" s="98"/>
      <c r="N65" s="98"/>
      <c r="O65" s="98"/>
      <c r="P65" s="98"/>
      <c r="Q65" s="98"/>
      <c r="R65" s="98"/>
      <c r="S65" s="124"/>
      <c r="T65" s="105"/>
      <c r="U65" s="105"/>
      <c r="V65" s="105"/>
      <c r="W65" s="105"/>
      <c r="X65" s="105"/>
      <c r="Y65" s="105"/>
      <c r="Z65" s="105"/>
      <c r="AA65" s="105"/>
    </row>
    <row r="66" spans="1:27" x14ac:dyDescent="0.2">
      <c r="A66" s="123"/>
      <c r="B66" s="98"/>
      <c r="C66" s="98"/>
      <c r="D66" s="98"/>
      <c r="E66" s="98"/>
      <c r="F66" s="98"/>
      <c r="G66" s="98"/>
      <c r="H66" s="98"/>
      <c r="I66" s="124"/>
      <c r="J66" s="105"/>
      <c r="K66" s="123"/>
      <c r="L66" s="98"/>
      <c r="M66" s="98"/>
      <c r="N66" s="98"/>
      <c r="O66" s="98"/>
      <c r="P66" s="98"/>
      <c r="Q66" s="98"/>
      <c r="R66" s="98"/>
      <c r="S66" s="124"/>
      <c r="T66" s="105"/>
      <c r="U66" s="105"/>
      <c r="V66" s="105"/>
      <c r="W66" s="105"/>
      <c r="X66" s="105"/>
      <c r="Y66" s="105"/>
      <c r="Z66" s="105"/>
      <c r="AA66" s="105"/>
    </row>
    <row r="67" spans="1:27" x14ac:dyDescent="0.2">
      <c r="A67" s="123" t="s">
        <v>306</v>
      </c>
      <c r="B67" s="98"/>
      <c r="C67" s="98"/>
      <c r="D67" s="98"/>
      <c r="E67" s="98"/>
      <c r="F67" s="98"/>
      <c r="G67" s="98"/>
      <c r="H67" s="98"/>
      <c r="I67" s="124"/>
      <c r="J67" s="105"/>
      <c r="K67" s="123" t="s">
        <v>306</v>
      </c>
      <c r="L67" s="98"/>
      <c r="M67" s="98"/>
      <c r="N67" s="98"/>
      <c r="O67" s="98"/>
      <c r="P67" s="98"/>
      <c r="Q67" s="98"/>
      <c r="R67" s="98"/>
      <c r="S67" s="124"/>
      <c r="T67" s="105"/>
      <c r="U67" s="105"/>
      <c r="V67" s="105"/>
      <c r="W67" s="105"/>
      <c r="X67" s="105"/>
      <c r="Y67" s="105"/>
      <c r="Z67" s="105"/>
      <c r="AA67" s="105"/>
    </row>
    <row r="68" spans="1:27" ht="24" customHeight="1" x14ac:dyDescent="0.2">
      <c r="A68" s="123" t="s">
        <v>304</v>
      </c>
      <c r="B68" s="98"/>
      <c r="C68" s="98">
        <f ca="1">B28*$H$3</f>
        <v>5581.8841908312043</v>
      </c>
      <c r="D68" s="98"/>
      <c r="E68" s="98"/>
      <c r="F68" s="98"/>
      <c r="G68" s="98"/>
      <c r="H68" s="98"/>
      <c r="I68" s="124"/>
      <c r="J68" s="105"/>
      <c r="K68" s="123" t="s">
        <v>304</v>
      </c>
      <c r="L68" s="98"/>
      <c r="M68" s="98">
        <f ca="1">D28*$H$3</f>
        <v>5658.7223738875055</v>
      </c>
      <c r="N68" s="98"/>
      <c r="O68" s="98"/>
      <c r="P68" s="98"/>
      <c r="Q68" s="98"/>
      <c r="R68" s="98"/>
      <c r="S68" s="124"/>
      <c r="T68" s="105"/>
      <c r="U68" s="105"/>
      <c r="V68" s="105"/>
      <c r="W68" s="105"/>
      <c r="X68" s="105"/>
      <c r="Y68" s="105"/>
      <c r="Z68" s="105"/>
      <c r="AA68" s="105"/>
    </row>
    <row r="69" spans="1:27" ht="24" customHeight="1" x14ac:dyDescent="0.2">
      <c r="A69" s="123" t="s">
        <v>307</v>
      </c>
      <c r="B69" s="98"/>
      <c r="C69" s="98">
        <f ca="1">B33*$H$4</f>
        <v>10630.577030293969</v>
      </c>
      <c r="D69" s="98"/>
      <c r="E69" s="98"/>
      <c r="F69" s="98"/>
      <c r="G69" s="98"/>
      <c r="H69" s="98"/>
      <c r="I69" s="124"/>
      <c r="J69" s="105"/>
      <c r="K69" s="123" t="s">
        <v>307</v>
      </c>
      <c r="L69" s="98"/>
      <c r="M69" s="98">
        <f ca="1">D33*$H$4</f>
        <v>10759.096006102212</v>
      </c>
      <c r="N69" s="98"/>
      <c r="O69" s="98"/>
      <c r="P69" s="98"/>
      <c r="Q69" s="98"/>
      <c r="R69" s="98"/>
      <c r="S69" s="124"/>
      <c r="T69" s="105"/>
      <c r="U69" s="105"/>
      <c r="V69" s="105"/>
      <c r="W69" s="105"/>
      <c r="X69" s="105"/>
      <c r="Y69" s="105"/>
      <c r="Z69" s="105"/>
      <c r="AA69" s="105"/>
    </row>
    <row r="70" spans="1:27" x14ac:dyDescent="0.2">
      <c r="A70" s="125" t="s">
        <v>305</v>
      </c>
      <c r="B70" s="29"/>
      <c r="C70" s="29">
        <f>$E$4*$H$8</f>
        <v>51.93</v>
      </c>
      <c r="D70" s="98"/>
      <c r="E70" s="98"/>
      <c r="F70" s="98"/>
      <c r="G70" s="98"/>
      <c r="H70" s="98"/>
      <c r="I70" s="124"/>
      <c r="J70" s="105"/>
      <c r="K70" s="125" t="s">
        <v>305</v>
      </c>
      <c r="L70" s="29"/>
      <c r="M70" s="29">
        <f>$E$4*$H$8</f>
        <v>51.93</v>
      </c>
      <c r="N70" s="98"/>
      <c r="O70" s="98"/>
      <c r="P70" s="98"/>
      <c r="Q70" s="98"/>
      <c r="R70" s="98"/>
      <c r="S70" s="124"/>
      <c r="T70" s="105"/>
      <c r="U70" s="105"/>
      <c r="V70" s="105"/>
      <c r="W70" s="105"/>
      <c r="X70" s="105"/>
      <c r="Y70" s="105"/>
      <c r="Z70" s="105"/>
      <c r="AA70" s="105"/>
    </row>
    <row r="71" spans="1:27" x14ac:dyDescent="0.2">
      <c r="A71" s="123" t="s">
        <v>44</v>
      </c>
      <c r="B71" s="98"/>
      <c r="C71" s="98">
        <f ca="1">SUM(C68:C70)</f>
        <v>16264.391221125174</v>
      </c>
      <c r="D71" s="98"/>
      <c r="E71" s="98"/>
      <c r="F71" s="98"/>
      <c r="G71" s="98"/>
      <c r="H71" s="98"/>
      <c r="I71" s="124"/>
      <c r="J71" s="105"/>
      <c r="K71" s="123" t="s">
        <v>44</v>
      </c>
      <c r="L71" s="98"/>
      <c r="M71" s="98">
        <f ca="1">SUM(M68:M70)</f>
        <v>16469.748379989716</v>
      </c>
      <c r="N71" s="98"/>
      <c r="O71" s="98"/>
      <c r="P71" s="98"/>
      <c r="Q71" s="98"/>
      <c r="R71" s="98"/>
      <c r="S71" s="124"/>
      <c r="T71" s="105"/>
      <c r="U71" s="105"/>
      <c r="V71" s="105"/>
      <c r="W71" s="105"/>
      <c r="X71" s="105"/>
      <c r="Y71" s="105"/>
      <c r="Z71" s="105"/>
      <c r="AA71" s="105"/>
    </row>
    <row r="72" spans="1:27" x14ac:dyDescent="0.2">
      <c r="A72" s="123"/>
      <c r="B72" s="126"/>
      <c r="C72" s="98"/>
      <c r="D72" s="98"/>
      <c r="E72" s="98"/>
      <c r="F72" s="98"/>
      <c r="G72" s="98"/>
      <c r="H72" s="98"/>
      <c r="I72" s="124"/>
      <c r="J72" s="105"/>
      <c r="K72" s="123"/>
      <c r="L72" s="126"/>
      <c r="M72" s="98"/>
      <c r="N72" s="98"/>
      <c r="O72" s="98"/>
      <c r="P72" s="98"/>
      <c r="Q72" s="98"/>
      <c r="R72" s="98"/>
      <c r="S72" s="124"/>
      <c r="T72" s="105"/>
      <c r="U72" s="105"/>
      <c r="V72" s="105"/>
      <c r="W72" s="105"/>
      <c r="X72" s="105"/>
      <c r="Y72" s="105"/>
      <c r="Z72" s="105"/>
      <c r="AA72" s="105"/>
    </row>
    <row r="73" spans="1:27" x14ac:dyDescent="0.2">
      <c r="A73" s="123"/>
      <c r="B73" s="126"/>
      <c r="C73" s="98"/>
      <c r="D73" s="98"/>
      <c r="E73" s="98"/>
      <c r="F73" s="98"/>
      <c r="G73" s="98"/>
      <c r="H73" s="98"/>
      <c r="I73" s="124"/>
      <c r="J73" s="105"/>
      <c r="K73" s="123"/>
      <c r="L73" s="126"/>
      <c r="M73" s="98"/>
      <c r="N73" s="98"/>
      <c r="O73" s="98"/>
      <c r="P73" s="98"/>
      <c r="Q73" s="98"/>
      <c r="R73" s="98"/>
      <c r="S73" s="124"/>
      <c r="T73" s="105"/>
      <c r="U73" s="105"/>
      <c r="V73" s="105"/>
      <c r="W73" s="105"/>
      <c r="X73" s="105"/>
      <c r="Y73" s="105"/>
      <c r="Z73" s="105"/>
      <c r="AA73" s="105"/>
    </row>
    <row r="74" spans="1:27" x14ac:dyDescent="0.2">
      <c r="A74" s="655" t="s">
        <v>145</v>
      </c>
      <c r="B74" s="656"/>
      <c r="C74" s="656"/>
      <c r="D74" s="656"/>
      <c r="E74" s="656"/>
      <c r="F74" s="656"/>
      <c r="G74" s="656"/>
      <c r="H74" s="656"/>
      <c r="I74" s="657"/>
      <c r="J74" s="105"/>
      <c r="K74" s="655" t="s">
        <v>145</v>
      </c>
      <c r="L74" s="656"/>
      <c r="M74" s="656"/>
      <c r="N74" s="656"/>
      <c r="O74" s="656"/>
      <c r="P74" s="656"/>
      <c r="Q74" s="656"/>
      <c r="R74" s="656"/>
      <c r="S74" s="657"/>
      <c r="T74" s="105"/>
      <c r="U74" s="105"/>
      <c r="V74" s="105"/>
      <c r="W74" s="105"/>
      <c r="X74" s="105"/>
      <c r="Y74" s="105"/>
      <c r="Z74" s="105"/>
      <c r="AA74" s="105"/>
    </row>
    <row r="75" spans="1:27" x14ac:dyDescent="0.2">
      <c r="A75" s="123"/>
      <c r="B75" s="98"/>
      <c r="C75" s="98"/>
      <c r="D75" s="98"/>
      <c r="E75" s="98"/>
      <c r="F75" s="98"/>
      <c r="G75" s="98"/>
      <c r="H75" s="98"/>
      <c r="I75" s="124"/>
      <c r="J75" s="105"/>
      <c r="K75" s="123"/>
      <c r="L75" s="98"/>
      <c r="M75" s="98"/>
      <c r="N75" s="98"/>
      <c r="O75" s="98"/>
      <c r="P75" s="98"/>
      <c r="Q75" s="98"/>
      <c r="R75" s="98"/>
      <c r="S75" s="124"/>
      <c r="T75" s="105"/>
      <c r="U75" s="105"/>
      <c r="V75" s="105"/>
      <c r="W75" s="105"/>
      <c r="X75" s="105"/>
      <c r="Y75" s="105"/>
      <c r="Z75" s="105"/>
      <c r="AA75" s="105"/>
    </row>
    <row r="76" spans="1:27" x14ac:dyDescent="0.2">
      <c r="A76" s="123" t="s">
        <v>308</v>
      </c>
      <c r="B76" s="98"/>
      <c r="C76" s="98"/>
      <c r="D76" s="98"/>
      <c r="E76" s="98"/>
      <c r="F76" s="98"/>
      <c r="G76" s="98"/>
      <c r="H76" s="98"/>
      <c r="I76" s="124"/>
      <c r="J76" s="105"/>
      <c r="K76" s="123" t="s">
        <v>308</v>
      </c>
      <c r="L76" s="98"/>
      <c r="M76" s="98"/>
      <c r="N76" s="98"/>
      <c r="O76" s="98"/>
      <c r="P76" s="98"/>
      <c r="Q76" s="98"/>
      <c r="R76" s="98"/>
      <c r="S76" s="124"/>
      <c r="T76" s="105"/>
      <c r="U76" s="105"/>
      <c r="V76" s="105"/>
      <c r="W76" s="105"/>
      <c r="X76" s="105"/>
      <c r="Y76" s="105"/>
      <c r="Z76" s="105"/>
      <c r="AA76" s="105"/>
    </row>
    <row r="77" spans="1:27" x14ac:dyDescent="0.2">
      <c r="A77" s="123" t="s">
        <v>309</v>
      </c>
      <c r="B77" s="98"/>
      <c r="C77" s="94" t="s">
        <v>311</v>
      </c>
      <c r="D77" s="97">
        <f>$H$5</f>
        <v>4.0000000000000001E-3</v>
      </c>
      <c r="E77" s="98">
        <f>$E$3*$H$5</f>
        <v>141.40800000000002</v>
      </c>
      <c r="F77" s="98"/>
      <c r="G77" s="98"/>
      <c r="H77" s="98"/>
      <c r="I77" s="124"/>
      <c r="J77" s="105"/>
      <c r="K77" s="123" t="s">
        <v>309</v>
      </c>
      <c r="L77" s="98"/>
      <c r="M77" s="94" t="s">
        <v>311</v>
      </c>
      <c r="N77" s="97">
        <f>$H$5</f>
        <v>4.0000000000000001E-3</v>
      </c>
      <c r="O77" s="98">
        <f>$E$3*$H$5</f>
        <v>141.40800000000002</v>
      </c>
      <c r="P77" s="98"/>
      <c r="Q77" s="98"/>
      <c r="R77" s="98"/>
      <c r="S77" s="124"/>
      <c r="T77" s="105"/>
      <c r="U77" s="105"/>
      <c r="V77" s="105"/>
      <c r="W77" s="105"/>
      <c r="X77" s="105"/>
      <c r="Y77" s="105"/>
      <c r="Z77" s="105"/>
      <c r="AA77" s="105"/>
    </row>
    <row r="78" spans="1:27" x14ac:dyDescent="0.2">
      <c r="A78" s="123" t="s">
        <v>310</v>
      </c>
      <c r="B78" s="98"/>
      <c r="C78" s="94" t="s">
        <v>312</v>
      </c>
      <c r="D78" s="97">
        <f>$H$6</f>
        <v>2.5000000000000001E-2</v>
      </c>
      <c r="E78" s="98">
        <f ca="1">(B28-$E$3)*$H$6</f>
        <v>1700.4056439033354</v>
      </c>
      <c r="F78" s="98"/>
      <c r="G78" s="98"/>
      <c r="H78" s="98"/>
      <c r="I78" s="124"/>
      <c r="J78" s="105"/>
      <c r="K78" s="123" t="s">
        <v>310</v>
      </c>
      <c r="L78" s="98"/>
      <c r="M78" s="94" t="s">
        <v>312</v>
      </c>
      <c r="N78" s="97">
        <f>$H$6</f>
        <v>2.5000000000000001E-2</v>
      </c>
      <c r="O78" s="98">
        <f ca="1">(D28-$E$3)*$H$6</f>
        <v>1735.9788767997711</v>
      </c>
      <c r="P78" s="98"/>
      <c r="Q78" s="98"/>
      <c r="R78" s="98"/>
      <c r="S78" s="124"/>
      <c r="T78" s="105"/>
      <c r="U78" s="105"/>
      <c r="V78" s="105"/>
      <c r="W78" s="105"/>
      <c r="X78" s="105"/>
      <c r="Y78" s="105"/>
      <c r="Z78" s="105"/>
      <c r="AA78" s="105"/>
    </row>
    <row r="79" spans="1:27" x14ac:dyDescent="0.2">
      <c r="A79" s="123"/>
      <c r="B79" s="98"/>
      <c r="C79" s="98"/>
      <c r="D79" s="127" t="s">
        <v>577</v>
      </c>
      <c r="E79" s="98">
        <f ca="1">SUM(E77:E78)</f>
        <v>1841.8136439033356</v>
      </c>
      <c r="F79" s="98"/>
      <c r="G79" s="98"/>
      <c r="H79" s="98"/>
      <c r="I79" s="124"/>
      <c r="J79" s="105"/>
      <c r="K79" s="123"/>
      <c r="L79" s="98"/>
      <c r="M79" s="98"/>
      <c r="N79" s="127" t="s">
        <v>577</v>
      </c>
      <c r="O79" s="98">
        <f ca="1">SUM(O77:O78)</f>
        <v>1877.386876799771</v>
      </c>
      <c r="P79" s="98"/>
      <c r="Q79" s="98"/>
      <c r="R79" s="98"/>
      <c r="S79" s="124"/>
      <c r="T79" s="105"/>
      <c r="U79" s="105"/>
      <c r="V79" s="105"/>
      <c r="W79" s="105"/>
      <c r="X79" s="105"/>
      <c r="Y79" s="105"/>
      <c r="Z79" s="105"/>
      <c r="AA79" s="105"/>
    </row>
    <row r="80" spans="1:27" x14ac:dyDescent="0.2">
      <c r="A80" s="123"/>
      <c r="B80" s="126"/>
      <c r="C80" s="98"/>
      <c r="D80" s="98"/>
      <c r="E80" s="98"/>
      <c r="F80" s="98"/>
      <c r="G80" s="98"/>
      <c r="H80" s="98"/>
      <c r="I80" s="124"/>
      <c r="J80" s="105"/>
      <c r="K80" s="123"/>
      <c r="L80" s="126"/>
      <c r="M80" s="98"/>
      <c r="N80" s="98"/>
      <c r="O80" s="98"/>
      <c r="P80" s="98"/>
      <c r="Q80" s="98"/>
      <c r="R80" s="98"/>
      <c r="S80" s="124"/>
      <c r="T80" s="105"/>
      <c r="U80" s="105"/>
      <c r="V80" s="105"/>
      <c r="W80" s="105"/>
      <c r="X80" s="105"/>
      <c r="Y80" s="105"/>
      <c r="Z80" s="105"/>
      <c r="AA80" s="105"/>
    </row>
    <row r="81" spans="1:51" x14ac:dyDescent="0.2">
      <c r="A81" s="123" t="s">
        <v>313</v>
      </c>
      <c r="B81" s="98"/>
      <c r="C81" s="98"/>
      <c r="D81" s="98"/>
      <c r="E81" s="98">
        <f ca="1">B33*$H$4</f>
        <v>10630.577030293969</v>
      </c>
      <c r="F81" s="98"/>
      <c r="G81" s="98"/>
      <c r="H81" s="98"/>
      <c r="I81" s="124"/>
      <c r="J81" s="105"/>
      <c r="K81" s="123" t="s">
        <v>313</v>
      </c>
      <c r="L81" s="98"/>
      <c r="M81" s="98"/>
      <c r="N81" s="98"/>
      <c r="O81" s="98">
        <f ca="1">D33*$H$4</f>
        <v>10759.096006102212</v>
      </c>
      <c r="P81" s="98"/>
      <c r="Q81" s="98"/>
      <c r="R81" s="98"/>
      <c r="S81" s="124"/>
      <c r="T81" s="105"/>
      <c r="U81" s="105"/>
      <c r="V81" s="105"/>
      <c r="W81" s="105"/>
      <c r="X81" s="105"/>
      <c r="Y81" s="105"/>
      <c r="Z81" s="105"/>
      <c r="AA81" s="105"/>
    </row>
    <row r="82" spans="1:51" x14ac:dyDescent="0.2">
      <c r="A82" s="128" t="s">
        <v>102</v>
      </c>
      <c r="B82" s="29"/>
      <c r="C82" s="29"/>
      <c r="D82" s="29"/>
      <c r="E82" s="98">
        <f>$E$4*$H$8</f>
        <v>51.93</v>
      </c>
      <c r="F82" s="29"/>
      <c r="G82" s="29"/>
      <c r="H82" s="29"/>
      <c r="I82" s="129"/>
      <c r="K82" s="128" t="s">
        <v>102</v>
      </c>
      <c r="L82" s="29"/>
      <c r="M82" s="29"/>
      <c r="N82" s="29"/>
      <c r="O82" s="98">
        <f>$E$4*$H$8</f>
        <v>51.93</v>
      </c>
      <c r="P82" s="29"/>
      <c r="Q82" s="29"/>
      <c r="R82" s="29"/>
      <c r="S82" s="129"/>
    </row>
    <row r="83" spans="1:51" x14ac:dyDescent="0.2">
      <c r="A83" s="128" t="s">
        <v>127</v>
      </c>
      <c r="B83" s="98"/>
      <c r="C83" s="98"/>
      <c r="D83" s="98"/>
      <c r="E83" s="106">
        <f>$E$3*0.5%</f>
        <v>176.76</v>
      </c>
      <c r="F83" s="98"/>
      <c r="G83" s="98"/>
      <c r="H83" s="98"/>
      <c r="I83" s="124"/>
      <c r="J83" s="105"/>
      <c r="K83" s="128" t="s">
        <v>127</v>
      </c>
      <c r="L83" s="98"/>
      <c r="M83" s="98"/>
      <c r="N83" s="98"/>
      <c r="O83" s="106">
        <f>$E$3*0.5%</f>
        <v>176.76</v>
      </c>
      <c r="P83" s="98"/>
      <c r="Q83" s="98"/>
      <c r="R83" s="98"/>
      <c r="S83" s="124"/>
      <c r="T83" s="105"/>
      <c r="U83" s="105"/>
      <c r="V83" s="105"/>
      <c r="W83" s="105"/>
      <c r="X83" s="105"/>
      <c r="Y83" s="105"/>
      <c r="Z83" s="105"/>
      <c r="AA83" s="105"/>
    </row>
    <row r="84" spans="1:51" x14ac:dyDescent="0.2">
      <c r="A84" s="130" t="s">
        <v>44</v>
      </c>
      <c r="B84" s="131"/>
      <c r="C84" s="131"/>
      <c r="D84" s="131"/>
      <c r="E84" s="131">
        <f ca="1">SUM(E79:E83)</f>
        <v>12701.080674197305</v>
      </c>
      <c r="F84" s="131"/>
      <c r="G84" s="131"/>
      <c r="H84" s="131"/>
      <c r="I84" s="132"/>
      <c r="J84" s="105"/>
      <c r="K84" s="130" t="s">
        <v>44</v>
      </c>
      <c r="L84" s="131"/>
      <c r="M84" s="131"/>
      <c r="N84" s="131"/>
      <c r="O84" s="131">
        <f ca="1">SUM(O79:O83)</f>
        <v>12865.172882901983</v>
      </c>
      <c r="P84" s="131"/>
      <c r="Q84" s="131"/>
      <c r="R84" s="131"/>
      <c r="S84" s="132"/>
      <c r="T84" s="105"/>
      <c r="U84" s="105"/>
      <c r="V84" s="105"/>
      <c r="W84" s="105"/>
      <c r="X84" s="105"/>
      <c r="Y84" s="105"/>
      <c r="Z84" s="105"/>
      <c r="AA84" s="105"/>
    </row>
    <row r="85" spans="1:51" x14ac:dyDescent="0.2">
      <c r="A85" s="98"/>
      <c r="B85" s="98"/>
      <c r="C85" s="98"/>
      <c r="D85" s="98"/>
      <c r="E85" s="98"/>
      <c r="F85" s="98"/>
      <c r="G85" s="98"/>
      <c r="H85" s="98"/>
      <c r="I85" s="98"/>
      <c r="J85" s="105"/>
      <c r="K85" s="105"/>
      <c r="L85" s="105"/>
      <c r="M85" s="105"/>
      <c r="N85" s="105"/>
      <c r="O85" s="105"/>
      <c r="P85" s="105"/>
      <c r="Q85" s="105"/>
      <c r="R85" s="105"/>
      <c r="S85" s="105"/>
      <c r="T85" s="105"/>
      <c r="U85" s="105"/>
      <c r="V85" s="105"/>
      <c r="W85" s="105"/>
      <c r="X85" s="105"/>
      <c r="Y85" s="105"/>
      <c r="Z85" s="105"/>
      <c r="AA85" s="105"/>
    </row>
    <row r="86" spans="1:51" x14ac:dyDescent="0.2">
      <c r="A86" s="98"/>
      <c r="B86" s="98"/>
      <c r="C86" s="98"/>
      <c r="D86" s="98"/>
      <c r="E86" s="98"/>
      <c r="F86" s="98"/>
      <c r="G86" s="98"/>
      <c r="H86" s="98"/>
      <c r="I86" s="98"/>
      <c r="J86" s="105"/>
      <c r="K86" s="105"/>
      <c r="L86" s="105"/>
      <c r="M86" s="105"/>
      <c r="N86" s="105"/>
      <c r="O86" s="105"/>
      <c r="P86" s="105"/>
      <c r="Q86" s="105"/>
      <c r="R86" s="105"/>
      <c r="S86" s="105"/>
      <c r="T86" s="105"/>
      <c r="U86" s="105"/>
      <c r="V86" s="105"/>
      <c r="W86" s="105"/>
      <c r="X86" s="105"/>
      <c r="Y86" s="105"/>
      <c r="Z86" s="105"/>
      <c r="AA86" s="105"/>
    </row>
    <row r="87" spans="1:51" x14ac:dyDescent="0.2">
      <c r="A87" s="133"/>
      <c r="B87" s="121"/>
      <c r="C87" s="92">
        <v>1</v>
      </c>
      <c r="D87" s="121"/>
      <c r="E87" s="92">
        <v>2</v>
      </c>
      <c r="F87" s="121"/>
      <c r="G87" s="92">
        <v>3</v>
      </c>
      <c r="H87" s="121"/>
      <c r="I87" s="92">
        <v>4</v>
      </c>
      <c r="J87" s="121"/>
      <c r="K87" s="92">
        <v>5</v>
      </c>
      <c r="L87" s="121"/>
      <c r="M87" s="92">
        <v>6</v>
      </c>
      <c r="N87" s="121"/>
      <c r="O87" s="92">
        <v>7</v>
      </c>
      <c r="P87" s="121"/>
      <c r="Q87" s="92">
        <v>8</v>
      </c>
      <c r="R87" s="121"/>
      <c r="S87" s="92">
        <v>9</v>
      </c>
      <c r="T87" s="134"/>
      <c r="U87" s="121">
        <v>10</v>
      </c>
      <c r="V87" s="121"/>
      <c r="W87" s="121">
        <v>11</v>
      </c>
      <c r="X87" s="121"/>
      <c r="Y87" s="122">
        <v>12</v>
      </c>
      <c r="Z87" s="105"/>
      <c r="AA87" s="133"/>
      <c r="AB87" s="121"/>
      <c r="AC87" s="92">
        <v>1</v>
      </c>
      <c r="AD87" s="121"/>
      <c r="AE87" s="92">
        <v>2</v>
      </c>
      <c r="AF87" s="121"/>
      <c r="AG87" s="92">
        <v>3</v>
      </c>
      <c r="AH87" s="121"/>
      <c r="AI87" s="92">
        <v>4</v>
      </c>
      <c r="AJ87" s="121"/>
      <c r="AK87" s="92">
        <v>5</v>
      </c>
      <c r="AL87" s="121"/>
      <c r="AM87" s="92">
        <v>6</v>
      </c>
      <c r="AN87" s="121"/>
      <c r="AO87" s="92">
        <v>7</v>
      </c>
      <c r="AP87" s="121"/>
      <c r="AQ87" s="92">
        <v>8</v>
      </c>
      <c r="AR87" s="121"/>
      <c r="AS87" s="92">
        <v>9</v>
      </c>
      <c r="AT87" s="134"/>
      <c r="AU87" s="121">
        <v>10</v>
      </c>
      <c r="AV87" s="121"/>
      <c r="AW87" s="121">
        <v>11</v>
      </c>
      <c r="AX87" s="121"/>
      <c r="AY87" s="122">
        <v>12</v>
      </c>
    </row>
    <row r="88" spans="1:51" x14ac:dyDescent="0.2">
      <c r="A88" s="123" t="str">
        <f>'ch soc'!A124</f>
        <v>PROFESSION</v>
      </c>
      <c r="B88" s="98"/>
      <c r="C88" s="98" t="str">
        <f>'ch soc'!C124</f>
        <v>ARCHITECTE</v>
      </c>
      <c r="D88" s="98"/>
      <c r="E88" s="98" t="str">
        <f>'ch soc'!E124</f>
        <v>AVOCAT</v>
      </c>
      <c r="F88" s="98"/>
      <c r="G88" s="94" t="str">
        <f>'ch soc'!G124</f>
        <v>KINE</v>
      </c>
      <c r="H88" s="98"/>
      <c r="I88" s="98" t="str">
        <f>'ch soc'!I124</f>
        <v>DENTISTE</v>
      </c>
      <c r="J88" s="98"/>
      <c r="K88" s="98" t="str">
        <f>'ch soc'!K124</f>
        <v>EX COMP</v>
      </c>
      <c r="L88" s="135" t="str">
        <f>'ch soc'!L124</f>
        <v>MEDECIN Sect I</v>
      </c>
      <c r="M88" s="135"/>
      <c r="N88" s="98"/>
      <c r="O88" s="98" t="s">
        <v>45</v>
      </c>
      <c r="P88" s="98"/>
      <c r="Q88" s="98" t="str">
        <f>'ch soc'!Q124</f>
        <v>BIOLOGISTE</v>
      </c>
      <c r="R88" s="98"/>
      <c r="S88" s="98" t="str">
        <f>'ch soc'!S124</f>
        <v>SAGE FEMME</v>
      </c>
      <c r="T88" s="98"/>
      <c r="U88" s="136" t="str">
        <f>'ch soc'!U124</f>
        <v>VETERINAIRE</v>
      </c>
      <c r="V88" s="136"/>
      <c r="W88" s="136" t="str">
        <f>'ch soc'!W124</f>
        <v>NOTAIRE</v>
      </c>
      <c r="X88" s="136"/>
      <c r="Y88" s="137" t="str">
        <f>'ch soc'!Y124</f>
        <v>OFFICIER MINISTERIEL</v>
      </c>
      <c r="Z88" s="105"/>
      <c r="AA88" s="123" t="s">
        <v>55</v>
      </c>
      <c r="AB88" s="98"/>
      <c r="AC88" s="98" t="s">
        <v>56</v>
      </c>
      <c r="AD88" s="98"/>
      <c r="AE88" s="98" t="s">
        <v>58</v>
      </c>
      <c r="AF88" s="98"/>
      <c r="AG88" s="94" t="s">
        <v>59</v>
      </c>
      <c r="AH88" s="98"/>
      <c r="AI88" s="98" t="s">
        <v>62</v>
      </c>
      <c r="AJ88" s="98"/>
      <c r="AK88" s="98" t="s">
        <v>63</v>
      </c>
      <c r="AL88" s="135"/>
      <c r="AM88" s="135"/>
      <c r="AN88" s="98"/>
      <c r="AO88" s="98" t="s">
        <v>45</v>
      </c>
      <c r="AP88" s="98"/>
      <c r="AQ88" s="98" t="s">
        <v>207</v>
      </c>
      <c r="AR88" s="98"/>
      <c r="AS88" s="98" t="s">
        <v>66</v>
      </c>
      <c r="AT88" s="98"/>
      <c r="AU88" s="136" t="s">
        <v>208</v>
      </c>
      <c r="AV88" s="136"/>
      <c r="AW88" s="136" t="s">
        <v>211</v>
      </c>
      <c r="AX88" s="136"/>
      <c r="AY88" s="137" t="s">
        <v>216</v>
      </c>
    </row>
    <row r="89" spans="1:51" x14ac:dyDescent="0.2">
      <c r="A89" s="123"/>
      <c r="B89" s="98"/>
      <c r="C89" s="98" t="str">
        <f>'ch soc'!C125</f>
        <v>CIPAV</v>
      </c>
      <c r="D89" s="98"/>
      <c r="E89" s="98" t="str">
        <f>'ch soc'!E125</f>
        <v>CNBF</v>
      </c>
      <c r="F89" s="98"/>
      <c r="G89" s="94" t="str">
        <f>'ch soc'!G125</f>
        <v>CARPIMKO</v>
      </c>
      <c r="H89" s="98"/>
      <c r="I89" s="98" t="str">
        <f>'ch soc'!I125</f>
        <v>CARCDSF</v>
      </c>
      <c r="J89" s="98"/>
      <c r="K89" s="98" t="str">
        <f>'ch soc'!K125</f>
        <v>CAVEC</v>
      </c>
      <c r="L89" s="98"/>
      <c r="M89" s="98" t="str">
        <f>'ch soc'!M125</f>
        <v>CARMF</v>
      </c>
      <c r="N89" s="98"/>
      <c r="O89" s="98"/>
      <c r="P89" s="98"/>
      <c r="Q89" s="98" t="str">
        <f>'ch soc'!Q125</f>
        <v>CAVP</v>
      </c>
      <c r="R89" s="98"/>
      <c r="S89" s="98" t="str">
        <f>'ch soc'!S125</f>
        <v>CARCDSF</v>
      </c>
      <c r="T89" s="98"/>
      <c r="U89" s="136" t="str">
        <f>'ch soc'!U125</f>
        <v>CARVP</v>
      </c>
      <c r="V89" s="136"/>
      <c r="W89" s="136" t="str">
        <f>'ch soc'!W125</f>
        <v>CNR</v>
      </c>
      <c r="X89" s="136"/>
      <c r="Y89" s="137" t="str">
        <f>'ch soc'!Y125</f>
        <v>CAVOM</v>
      </c>
      <c r="Z89" s="105"/>
      <c r="AA89" s="123"/>
      <c r="AB89" s="98"/>
      <c r="AC89" s="98" t="s">
        <v>57</v>
      </c>
      <c r="AD89" s="98"/>
      <c r="AE89" s="98" t="s">
        <v>60</v>
      </c>
      <c r="AF89" s="98"/>
      <c r="AG89" s="94" t="s">
        <v>61</v>
      </c>
      <c r="AH89" s="98"/>
      <c r="AI89" s="98" t="s">
        <v>253</v>
      </c>
      <c r="AJ89" s="98"/>
      <c r="AK89" s="98" t="s">
        <v>64</v>
      </c>
      <c r="AL89" s="98"/>
      <c r="AM89" s="98" t="s">
        <v>65</v>
      </c>
      <c r="AN89" s="98"/>
      <c r="AO89" s="98"/>
      <c r="AP89" s="98"/>
      <c r="AQ89" s="98" t="s">
        <v>67</v>
      </c>
      <c r="AR89" s="98"/>
      <c r="AS89" s="98" t="s">
        <v>253</v>
      </c>
      <c r="AT89" s="98"/>
      <c r="AU89" s="136" t="s">
        <v>209</v>
      </c>
      <c r="AV89" s="136"/>
      <c r="AW89" s="136" t="s">
        <v>212</v>
      </c>
      <c r="AX89" s="136"/>
      <c r="AY89" s="137" t="s">
        <v>215</v>
      </c>
    </row>
    <row r="90" spans="1:51" x14ac:dyDescent="0.2">
      <c r="A90" s="123"/>
      <c r="B90" s="98"/>
      <c r="C90" s="98"/>
      <c r="D90" s="98"/>
      <c r="E90" s="98"/>
      <c r="F90" s="98"/>
      <c r="G90" s="98"/>
      <c r="H90" s="98"/>
      <c r="I90" s="98"/>
      <c r="J90" s="98"/>
      <c r="K90" s="98"/>
      <c r="L90" s="98"/>
      <c r="M90" s="98"/>
      <c r="N90" s="98"/>
      <c r="O90" s="98"/>
      <c r="P90" s="98"/>
      <c r="Q90" s="98"/>
      <c r="R90" s="98"/>
      <c r="S90" s="98"/>
      <c r="T90" s="98"/>
      <c r="U90" s="136"/>
      <c r="V90" s="136"/>
      <c r="W90" s="136"/>
      <c r="X90" s="136"/>
      <c r="Y90" s="137"/>
      <c r="Z90" s="105"/>
      <c r="AA90" s="123"/>
      <c r="AB90" s="98"/>
      <c r="AC90" s="98"/>
      <c r="AD90" s="98"/>
      <c r="AE90" s="98"/>
      <c r="AF90" s="98"/>
      <c r="AG90" s="98"/>
      <c r="AH90" s="98"/>
      <c r="AI90" s="98"/>
      <c r="AJ90" s="98"/>
      <c r="AK90" s="98"/>
      <c r="AL90" s="98"/>
      <c r="AM90" s="98"/>
      <c r="AN90" s="98"/>
      <c r="AO90" s="98"/>
      <c r="AP90" s="98"/>
      <c r="AQ90" s="98"/>
      <c r="AR90" s="98"/>
      <c r="AS90" s="98"/>
      <c r="AT90" s="98"/>
      <c r="AU90" s="136"/>
      <c r="AV90" s="136"/>
      <c r="AW90" s="136"/>
      <c r="AX90" s="136"/>
      <c r="AY90" s="137"/>
    </row>
    <row r="91" spans="1:51" x14ac:dyDescent="0.2">
      <c r="A91" s="123" t="s">
        <v>317</v>
      </c>
      <c r="B91" s="98"/>
      <c r="C91" s="98">
        <f>$B$24</f>
        <v>100000</v>
      </c>
      <c r="D91" s="98"/>
      <c r="E91" s="98">
        <f>$B$24</f>
        <v>100000</v>
      </c>
      <c r="F91" s="98"/>
      <c r="G91" s="98">
        <f>$B$24</f>
        <v>100000</v>
      </c>
      <c r="H91" s="98"/>
      <c r="I91" s="98">
        <f>$B$24</f>
        <v>100000</v>
      </c>
      <c r="J91" s="98"/>
      <c r="K91" s="98">
        <f>$B$24</f>
        <v>100000</v>
      </c>
      <c r="L91" s="98"/>
      <c r="M91" s="98">
        <f>$B$24</f>
        <v>100000</v>
      </c>
      <c r="N91" s="98"/>
      <c r="O91" s="98">
        <f>$B$24</f>
        <v>100000</v>
      </c>
      <c r="P91" s="98"/>
      <c r="Q91" s="98">
        <f>$B$24</f>
        <v>100000</v>
      </c>
      <c r="R91" s="98"/>
      <c r="S91" s="98">
        <f>$B$24</f>
        <v>100000</v>
      </c>
      <c r="T91" s="98"/>
      <c r="U91" s="98">
        <f>$B$24</f>
        <v>100000</v>
      </c>
      <c r="V91" s="136"/>
      <c r="W91" s="98">
        <f>$B$24</f>
        <v>100000</v>
      </c>
      <c r="X91" s="136"/>
      <c r="Y91" s="98">
        <f>$B$24</f>
        <v>100000</v>
      </c>
      <c r="Z91" s="105"/>
      <c r="AA91" s="123" t="s">
        <v>317</v>
      </c>
      <c r="AB91" s="98"/>
      <c r="AC91" s="98">
        <f>$D$24</f>
        <v>100000</v>
      </c>
      <c r="AD91" s="98"/>
      <c r="AE91" s="98">
        <f>$D$24</f>
        <v>100000</v>
      </c>
      <c r="AF91" s="98"/>
      <c r="AG91" s="98">
        <f>$D$24</f>
        <v>100000</v>
      </c>
      <c r="AH91" s="98"/>
      <c r="AI91" s="98">
        <f>$D$24</f>
        <v>100000</v>
      </c>
      <c r="AJ91" s="98"/>
      <c r="AK91" s="98">
        <f>$D$24</f>
        <v>100000</v>
      </c>
      <c r="AL91" s="98"/>
      <c r="AM91" s="98">
        <f>$D$24</f>
        <v>100000</v>
      </c>
      <c r="AN91" s="98"/>
      <c r="AO91" s="98">
        <f>$D$24</f>
        <v>100000</v>
      </c>
      <c r="AP91" s="98"/>
      <c r="AQ91" s="98">
        <f>$D$24</f>
        <v>100000</v>
      </c>
      <c r="AR91" s="98"/>
      <c r="AS91" s="98">
        <f>$D$24</f>
        <v>100000</v>
      </c>
      <c r="AT91" s="98"/>
      <c r="AU91" s="98">
        <f>$D$24</f>
        <v>100000</v>
      </c>
      <c r="AV91" s="136"/>
      <c r="AW91" s="98">
        <f>$D$24</f>
        <v>100000</v>
      </c>
      <c r="AX91" s="136"/>
      <c r="AY91" s="98">
        <f>$D$24</f>
        <v>100000</v>
      </c>
    </row>
    <row r="92" spans="1:51" x14ac:dyDescent="0.2">
      <c r="A92" s="123"/>
      <c r="B92" s="98"/>
      <c r="C92" s="98"/>
      <c r="D92" s="98"/>
      <c r="E92" s="98"/>
      <c r="F92" s="98"/>
      <c r="G92" s="98"/>
      <c r="H92" s="98"/>
      <c r="I92" s="98"/>
      <c r="J92" s="98"/>
      <c r="K92" s="98"/>
      <c r="L92" s="98"/>
      <c r="M92" s="98"/>
      <c r="N92" s="98"/>
      <c r="O92" s="98"/>
      <c r="P92" s="98"/>
      <c r="Q92" s="98"/>
      <c r="R92" s="98"/>
      <c r="S92" s="98"/>
      <c r="T92" s="98"/>
      <c r="U92" s="136"/>
      <c r="V92" s="136"/>
      <c r="W92" s="136"/>
      <c r="X92" s="136"/>
      <c r="Y92" s="137"/>
      <c r="Z92" s="105"/>
      <c r="AA92" s="123"/>
      <c r="AB92" s="98"/>
      <c r="AC92" s="98"/>
      <c r="AD92" s="98"/>
      <c r="AE92" s="98"/>
      <c r="AF92" s="98"/>
      <c r="AG92" s="98"/>
      <c r="AH92" s="98"/>
      <c r="AI92" s="98"/>
      <c r="AJ92" s="98"/>
      <c r="AK92" s="98"/>
      <c r="AL92" s="98"/>
      <c r="AM92" s="98"/>
      <c r="AN92" s="98"/>
      <c r="AO92" s="98"/>
      <c r="AP92" s="98"/>
      <c r="AQ92" s="98"/>
      <c r="AR92" s="98"/>
      <c r="AS92" s="98"/>
      <c r="AT92" s="98"/>
      <c r="AU92" s="136"/>
      <c r="AV92" s="136"/>
      <c r="AW92" s="136"/>
      <c r="AX92" s="136"/>
      <c r="AY92" s="137"/>
    </row>
    <row r="93" spans="1:51" x14ac:dyDescent="0.2">
      <c r="A93" s="123"/>
      <c r="B93" s="98"/>
      <c r="C93" s="98"/>
      <c r="D93" s="98"/>
      <c r="E93" s="98"/>
      <c r="F93" s="98"/>
      <c r="G93" s="98"/>
      <c r="H93" s="98"/>
      <c r="I93" s="98"/>
      <c r="J93" s="98"/>
      <c r="K93" s="98"/>
      <c r="L93" s="98"/>
      <c r="M93" s="98"/>
      <c r="N93" s="98"/>
      <c r="O93" s="98"/>
      <c r="P93" s="98"/>
      <c r="Q93" s="98"/>
      <c r="R93" s="98"/>
      <c r="S93" s="98"/>
      <c r="T93" s="98"/>
      <c r="U93" s="98"/>
      <c r="V93" s="136"/>
      <c r="W93" s="98"/>
      <c r="X93" s="136"/>
      <c r="Y93" s="124"/>
      <c r="Z93" s="105"/>
      <c r="AA93" s="123"/>
      <c r="AB93" s="98"/>
      <c r="AC93" s="98"/>
      <c r="AD93" s="98"/>
      <c r="AE93" s="98"/>
      <c r="AF93" s="98"/>
      <c r="AG93" s="98"/>
      <c r="AH93" s="98"/>
      <c r="AI93" s="98"/>
      <c r="AJ93" s="98"/>
      <c r="AK93" s="98"/>
      <c r="AL93" s="98"/>
      <c r="AM93" s="98"/>
      <c r="AN93" s="98"/>
      <c r="AO93" s="98"/>
      <c r="AP93" s="98"/>
      <c r="AQ93" s="98"/>
      <c r="AR93" s="98"/>
      <c r="AS93" s="98"/>
      <c r="AT93" s="98"/>
      <c r="AU93" s="98"/>
      <c r="AV93" s="136"/>
      <c r="AW93" s="98"/>
      <c r="AX93" s="136"/>
      <c r="AY93" s="124"/>
    </row>
    <row r="94" spans="1:51" x14ac:dyDescent="0.2">
      <c r="A94" s="98" t="s">
        <v>574</v>
      </c>
      <c r="B94" s="98"/>
      <c r="C94" s="98">
        <f ca="1">$B$28</f>
        <v>103368.22575613341</v>
      </c>
      <c r="D94" s="98"/>
      <c r="E94" s="98">
        <f ca="1">$B$28</f>
        <v>103368.22575613341</v>
      </c>
      <c r="F94" s="98"/>
      <c r="G94" s="98">
        <f ca="1">$B$28</f>
        <v>103368.22575613341</v>
      </c>
      <c r="H94" s="98"/>
      <c r="I94" s="98">
        <f ca="1">$B$28</f>
        <v>103368.22575613341</v>
      </c>
      <c r="J94" s="98"/>
      <c r="K94" s="98">
        <f ca="1">$B$28</f>
        <v>103368.22575613341</v>
      </c>
      <c r="L94" s="98"/>
      <c r="M94" s="98">
        <f ca="1">$B$28</f>
        <v>103368.22575613341</v>
      </c>
      <c r="N94" s="98"/>
      <c r="O94" s="98">
        <f ca="1">$B$28</f>
        <v>103368.22575613341</v>
      </c>
      <c r="P94" s="98"/>
      <c r="Q94" s="98">
        <f ca="1">$B$28</f>
        <v>103368.22575613341</v>
      </c>
      <c r="R94" s="98"/>
      <c r="S94" s="98">
        <f ca="1">$B$28</f>
        <v>103368.22575613341</v>
      </c>
      <c r="T94" s="98"/>
      <c r="U94" s="98">
        <f ca="1">$B$28</f>
        <v>103368.22575613341</v>
      </c>
      <c r="V94" s="136"/>
      <c r="W94" s="98">
        <f ca="1">$B$28</f>
        <v>103368.22575613341</v>
      </c>
      <c r="X94" s="136"/>
      <c r="Y94" s="98">
        <f ca="1">$B$28</f>
        <v>103368.22575613341</v>
      </c>
      <c r="Z94" s="105"/>
      <c r="AA94" s="98" t="s">
        <v>574</v>
      </c>
      <c r="AB94" s="98"/>
      <c r="AC94" s="98">
        <f ca="1">$D$28</f>
        <v>104791.15507199084</v>
      </c>
      <c r="AD94" s="98"/>
      <c r="AE94" s="98">
        <f ca="1">$D$28</f>
        <v>104791.15507199084</v>
      </c>
      <c r="AF94" s="98"/>
      <c r="AG94" s="98">
        <f ca="1">$D$28</f>
        <v>104791.15507199084</v>
      </c>
      <c r="AH94" s="98"/>
      <c r="AI94" s="98">
        <f ca="1">$D$28</f>
        <v>104791.15507199084</v>
      </c>
      <c r="AJ94" s="98"/>
      <c r="AK94" s="98">
        <f ca="1">$D$28</f>
        <v>104791.15507199084</v>
      </c>
      <c r="AL94" s="98"/>
      <c r="AM94" s="98">
        <f ca="1">$D$28</f>
        <v>104791.15507199084</v>
      </c>
      <c r="AN94" s="98"/>
      <c r="AO94" s="98">
        <f ca="1">$D$28</f>
        <v>104791.15507199084</v>
      </c>
      <c r="AP94" s="98"/>
      <c r="AQ94" s="98">
        <f ca="1">$D$28</f>
        <v>104791.15507199084</v>
      </c>
      <c r="AR94" s="98"/>
      <c r="AS94" s="98">
        <f ca="1">$D$28</f>
        <v>104791.15507199084</v>
      </c>
      <c r="AT94" s="98"/>
      <c r="AU94" s="98">
        <f ca="1">$D$28</f>
        <v>104791.15507199084</v>
      </c>
      <c r="AV94" s="136"/>
      <c r="AW94" s="98">
        <f ca="1">$D$28</f>
        <v>104791.15507199084</v>
      </c>
      <c r="AX94" s="136"/>
      <c r="AY94" s="98">
        <f ca="1">$D$28</f>
        <v>104791.15507199084</v>
      </c>
    </row>
    <row r="95" spans="1:51" x14ac:dyDescent="0.2">
      <c r="A95" s="123" t="str">
        <f>'ch soc'!A131</f>
        <v xml:space="preserve">  cotisation proportionnelle</v>
      </c>
      <c r="B95" s="98"/>
      <c r="C95" s="136">
        <f ca="1">IF(C94&lt;$E$3*0.85,C94*$H$9,IF(C94&lt;$E$3*5,$E$3*0.85*$H$9+(C94-0.85*$E$3)*$H$10,$E$3*0.85*$H$9+($E$3*5-$E$3*0.85)*$H$10))</f>
        <v>3757.3356120981343</v>
      </c>
      <c r="D95" s="98"/>
      <c r="E95" s="136">
        <f ca="1">IF(E94&lt;=$K$5,E94*$K$6,$K$5*$K$6)</f>
        <v>2170.7327408788019</v>
      </c>
      <c r="F95" s="98"/>
      <c r="G95" s="136">
        <f ca="1">IF(G94&lt;=$E$3*0.85,G94*$H$9,IF(G94&lt;=$E$3*5,$E$3*0.85*$H$9+(G94-0.85*$E$3)*$H$10,$E$3*0.85*$H$9+($E$3*5-$E$3*0.85)*$H$10))</f>
        <v>3757.3356120981343</v>
      </c>
      <c r="H95" s="98"/>
      <c r="I95" s="136">
        <f ca="1">IF(I94&lt;=$E$3*0.85,I94*$H$9,IF(I94&lt;=$E$3*5,$E$3*0.85*$H$9+(I94-0.85*$E$3)*$H$10,$E$3*0.85*$H$9+($E$3*5-$E$3*0.85)*$H$10))</f>
        <v>3757.3356120981343</v>
      </c>
      <c r="J95" s="98"/>
      <c r="K95" s="136">
        <f ca="1">IF(K94&lt;=$E$3*0.85,K94*$H$9,IF(K94&lt;=$E$3*5,$E$3*0.85*$H$9+(K94-0.85*$E$3)*$H$10,$E$3*0.85*$H$9+($E$3*5-$E$3*0.85)*$H$10))</f>
        <v>3757.3356120981343</v>
      </c>
      <c r="L95" s="98"/>
      <c r="M95" s="136">
        <f ca="1">IF(M94&lt;=$E$3*0.85,M94*$H$9,IF(M94&lt;=$E$3*5,$E$3*0.85*$H$9+(M94-0.85*$E$3)*$H$10,$E$3*0.85*$H$9+($E$3*5-$E$3*0.85)*$H$10))</f>
        <v>3757.3356120981343</v>
      </c>
      <c r="N95" s="98"/>
      <c r="O95" s="136">
        <f ca="1">IF(O94&lt;=$E$3*0.85,O94*$H$9,IF(O94&lt;=$E$3*5,$E$3*0.85*$H$9+(O94-0.85*$E$3)*$H$10,$E$3*0.85*$H$9+($E$3*5-$E$3*0.85)*$H$10))</f>
        <v>3757.3356120981343</v>
      </c>
      <c r="P95" s="98"/>
      <c r="Q95" s="136">
        <f ca="1">IF(Q94&lt;=$E$3*0.85,Q94*$H$9,IF(Q94&lt;=$E$3*5,$E$3*0.85*$H$9+(Q94-0.85*$E$3)*$H$10,$E$3*0.85*$H$9+($E$3*5-$E$3*0.85)*$H$10))</f>
        <v>3757.3356120981343</v>
      </c>
      <c r="R95" s="98"/>
      <c r="S95" s="136">
        <f ca="1">IF(S94&lt;=$E$3*0.85,S94*$H$9,IF(S94&lt;=$E$3*5,$E$3*0.85*$H$9+(S94-0.85*$E$3)*$H$10,$E$3*0.85*$H$9+($E$3*5-$E$3*0.85)*$H$10))</f>
        <v>3757.3356120981343</v>
      </c>
      <c r="T95" s="98"/>
      <c r="U95" s="136">
        <f ca="1">IF(U94&lt;=$E$3*0.85,U94*$H$9,IF(U94&lt;=$E$3*5,$E$3*0.85*$H$9+(U94-0.85*$E$3)*$H$10,$E$3*0.85*$H$9+($E$3*5-$E$3*0.85)*$H$10))</f>
        <v>3757.3356120981343</v>
      </c>
      <c r="V95" s="136"/>
      <c r="W95" s="136">
        <f ca="1">IF(W94&lt;=$E$3*0.85,W94*$H$9,IF(W94&lt;=$E$3*5,$E$3*0.85*$H$9+(W94-0.85*$E$3)*$H$10,$E$3*0.85*$H$9+($E$3*5-$E$3*0.85)*$H$10))</f>
        <v>3757.3356120981343</v>
      </c>
      <c r="X95" s="136"/>
      <c r="Y95" s="137">
        <f ca="1">IF(Y94&lt;=$E$3*0.85,Y94*$H$9,IF(Y94&lt;=$E$3*5,$E$3*0.85*$H$9+(Y94-0.85*$E$3)*$H$10,$E$3*0.85*$H$9+($E$3*5-$E$3*0.85)*$H$10))</f>
        <v>3757.3356120981343</v>
      </c>
      <c r="Z95" s="105"/>
      <c r="AA95" s="123" t="s">
        <v>155</v>
      </c>
      <c r="AB95" s="98"/>
      <c r="AC95" s="136">
        <f ca="1">IF(AC94&lt;$E$3*0.85,AC94*$H$9,IF(AC94&lt;$E$3*5,$E$3*0.85*$H$9+(AC94-0.85*$E$3)*$H$10,$E$3*0.85*$H$9+($E$3*5-$E$3*0.85)*$H$10))</f>
        <v>3780.1024811518532</v>
      </c>
      <c r="AD95" s="98"/>
      <c r="AE95" s="136">
        <f ca="1">IF(AE94&lt;=$K$5,AE94*$K$6,$K$5*$K$6)</f>
        <v>2200.614256511808</v>
      </c>
      <c r="AF95" s="98"/>
      <c r="AG95" s="136">
        <f ca="1">IF(AG94&lt;=$E$3*0.85,AG94*$H$9,IF(AG94&lt;=$E$3*5,$E$3*0.85*$H$9+(AG94-0.85*$E$3)*$H$10,$E$3*0.85*$H$9+($E$3*5-$E$3*0.85)*$H$10))</f>
        <v>3780.1024811518532</v>
      </c>
      <c r="AH95" s="98"/>
      <c r="AI95" s="136">
        <f ca="1">IF(AI94&lt;=$E$3*0.85,AI94*$H$9,IF(AI94&lt;=$E$3*5,$E$3*0.85*$H$9+(AI94-0.85*$E$3)*$H$10,$E$3*0.85*$H$9+($E$3*5-$E$3*0.85)*$H$10))</f>
        <v>3780.1024811518532</v>
      </c>
      <c r="AJ95" s="98"/>
      <c r="AK95" s="136">
        <f ca="1">IF(AK94&lt;=$E$3*0.85,AK94*$H$9,IF(AK94&lt;=$E$3*5,$E$3*0.85*$H$9+(AK94-0.85*$E$3)*$H$10,$E$3*0.85*$H$9+($E$3*5-$E$3*0.85)*$H$10))</f>
        <v>3780.1024811518532</v>
      </c>
      <c r="AL95" s="98"/>
      <c r="AM95" s="136">
        <f ca="1">IF(AM94&lt;=$E$3*0.85,AM94*$H$9,IF(AM94&lt;=$E$3*5,$E$3*0.85*$H$9+(AM94-0.85*$E$3)*$H$10,$E$3*0.85*$H$9+($E$3*5-$E$3*0.85)*$H$10))</f>
        <v>3780.1024811518532</v>
      </c>
      <c r="AN95" s="98"/>
      <c r="AO95" s="136">
        <f ca="1">IF(AO94&lt;=$E$3*0.85,AO94*$H$9,IF(AO94&lt;=$E$3*5,$E$3*0.85*$H$9+(AO94-0.85*$E$3)*$H$10,$E$3*0.85*$H$9+($E$3*5-$E$3*0.85)*$H$10))</f>
        <v>3780.1024811518532</v>
      </c>
      <c r="AP95" s="98"/>
      <c r="AQ95" s="136">
        <f ca="1">IF(AQ94&lt;=$E$3*0.85,AQ94*$H$9,IF(AQ94&lt;=$E$3*5,$E$3*0.85*$H$9+(AQ94-0.85*$E$3)*$H$10,$E$3*0.85*$H$9+($E$3*5-$E$3*0.85)*$H$10))</f>
        <v>3780.1024811518532</v>
      </c>
      <c r="AR95" s="98"/>
      <c r="AS95" s="136">
        <f ca="1">IF(AS94&lt;=$E$3*0.85,AS94*$H$9,IF(AS94&lt;=$E$3*5,$E$3*0.85*$H$9+(AS94-0.85*$E$3)*$H$10,$E$3*0.85*$H$9+($E$3*5-$E$3*0.85)*$H$10))</f>
        <v>3780.1024811518532</v>
      </c>
      <c r="AT95" s="98"/>
      <c r="AU95" s="136">
        <f ca="1">IF(AU94&lt;=$E$3*0.85,AU94*$H$9,IF(AU94&lt;=$E$3*5,$E$3*0.85*$H$9+(AU94-0.85*$E$3)*$H$10,$E$3*0.85*$H$9+($E$3*5-$E$3*0.85)*$H$10))</f>
        <v>3780.1024811518532</v>
      </c>
      <c r="AV95" s="136"/>
      <c r="AW95" s="136">
        <f ca="1">IF(AW94&lt;=$E$3*0.85,AW94*$H$9,IF(AW94&lt;=$E$3*5,$E$3*0.85*$H$9+(AW94-0.85*$E$3)*$H$10,$E$3*0.85*$H$9+($E$3*5-$E$3*0.85)*$H$10))</f>
        <v>3780.1024811518532</v>
      </c>
      <c r="AX95" s="136"/>
      <c r="AY95" s="137">
        <f ca="1">IF(AY94&lt;=$E$3*0.85,AY94*$H$9,IF(AY94&lt;=$E$3*5,$E$3*0.85*$H$9+(AY94-0.85*$E$3)*$H$10,$E$3*0.85*$H$9+($E$3*5-$E$3*0.85)*$H$10))</f>
        <v>3780.1024811518532</v>
      </c>
    </row>
    <row r="96" spans="1:51" x14ac:dyDescent="0.2">
      <c r="A96" s="123" t="str">
        <f>'ch soc'!A132</f>
        <v>forfait (+de 5 ans d'activite)</v>
      </c>
      <c r="B96" s="98"/>
      <c r="C96" s="98"/>
      <c r="D96" s="98"/>
      <c r="E96" s="136">
        <f>$K$7</f>
        <v>1430</v>
      </c>
      <c r="F96" s="98"/>
      <c r="G96" s="98"/>
      <c r="H96" s="98"/>
      <c r="I96" s="98"/>
      <c r="J96" s="98"/>
      <c r="K96" s="98"/>
      <c r="L96" s="98"/>
      <c r="M96" s="98"/>
      <c r="N96" s="98"/>
      <c r="O96" s="98"/>
      <c r="P96" s="138"/>
      <c r="Q96" s="98"/>
      <c r="R96" s="98"/>
      <c r="S96" s="98"/>
      <c r="T96" s="98"/>
      <c r="U96" s="136"/>
      <c r="V96" s="136"/>
      <c r="W96" s="136"/>
      <c r="X96" s="136"/>
      <c r="Y96" s="137"/>
      <c r="Z96" s="105"/>
      <c r="AA96" s="123" t="s">
        <v>260</v>
      </c>
      <c r="AB96" s="98"/>
      <c r="AC96" s="98"/>
      <c r="AD96" s="98"/>
      <c r="AE96" s="136">
        <f>$K$7</f>
        <v>1430</v>
      </c>
      <c r="AF96" s="98"/>
      <c r="AG96" s="98"/>
      <c r="AH96" s="98"/>
      <c r="AI96" s="98"/>
      <c r="AJ96" s="98"/>
      <c r="AK96" s="98"/>
      <c r="AL96" s="98"/>
      <c r="AM96" s="98"/>
      <c r="AN96" s="98"/>
      <c r="AO96" s="98"/>
      <c r="AP96" s="138"/>
      <c r="AQ96" s="98"/>
      <c r="AR96" s="98"/>
      <c r="AS96" s="98"/>
      <c r="AT96" s="98"/>
      <c r="AU96" s="136"/>
      <c r="AV96" s="136"/>
      <c r="AW96" s="136"/>
      <c r="AX96" s="136"/>
      <c r="AY96" s="137"/>
    </row>
    <row r="97" spans="1:51" ht="27" customHeight="1" x14ac:dyDescent="0.2">
      <c r="A97" s="123"/>
      <c r="B97" s="98"/>
      <c r="C97" s="98"/>
      <c r="D97" s="98"/>
      <c r="E97" s="98"/>
      <c r="F97" s="98"/>
      <c r="G97" s="98"/>
      <c r="H97" s="98"/>
      <c r="I97" s="98"/>
      <c r="J97" s="98"/>
      <c r="K97" s="98"/>
      <c r="L97" s="98"/>
      <c r="M97" s="98"/>
      <c r="N97" s="98"/>
      <c r="O97" s="98"/>
      <c r="P97" s="138"/>
      <c r="Q97" s="98"/>
      <c r="R97" s="98"/>
      <c r="S97" s="98"/>
      <c r="T97" s="98"/>
      <c r="U97" s="136"/>
      <c r="V97" s="136"/>
      <c r="W97" s="136"/>
      <c r="X97" s="136"/>
      <c r="Y97" s="137"/>
      <c r="Z97" s="105"/>
      <c r="AA97" s="123"/>
      <c r="AB97" s="98"/>
      <c r="AC97" s="98"/>
      <c r="AD97" s="98"/>
      <c r="AE97" s="98"/>
      <c r="AF97" s="98"/>
      <c r="AG97" s="98"/>
      <c r="AH97" s="98"/>
      <c r="AI97" s="98"/>
      <c r="AJ97" s="98"/>
      <c r="AK97" s="98"/>
      <c r="AL97" s="98"/>
      <c r="AM97" s="98"/>
      <c r="AN97" s="98"/>
      <c r="AO97" s="98"/>
      <c r="AP97" s="138"/>
      <c r="AQ97" s="98"/>
      <c r="AR97" s="98"/>
      <c r="AS97" s="98"/>
      <c r="AT97" s="98"/>
      <c r="AU97" s="136"/>
      <c r="AV97" s="136"/>
      <c r="AW97" s="136"/>
      <c r="AX97" s="136"/>
      <c r="AY97" s="137"/>
    </row>
    <row r="98" spans="1:51" x14ac:dyDescent="0.2">
      <c r="A98" s="123"/>
      <c r="B98" s="98"/>
      <c r="C98" s="98"/>
      <c r="D98" s="98"/>
      <c r="E98" s="98"/>
      <c r="F98" s="127"/>
      <c r="G98" s="94"/>
      <c r="H98" s="98"/>
      <c r="I98" s="98"/>
      <c r="J98" s="98"/>
      <c r="K98" s="98"/>
      <c r="L98" s="98"/>
      <c r="M98" s="98"/>
      <c r="N98" s="98"/>
      <c r="O98" s="98"/>
      <c r="P98" s="111"/>
      <c r="Q98" s="98"/>
      <c r="R98" s="98"/>
      <c r="S98" s="98"/>
      <c r="T98" s="98"/>
      <c r="U98" s="136"/>
      <c r="V98" s="136"/>
      <c r="W98" s="136"/>
      <c r="X98" s="136"/>
      <c r="Y98" s="137"/>
      <c r="Z98" s="105"/>
      <c r="AA98" s="123"/>
      <c r="AB98" s="98"/>
      <c r="AC98" s="98"/>
      <c r="AD98" s="98"/>
      <c r="AE98" s="98"/>
      <c r="AF98" s="127"/>
      <c r="AG98" s="94"/>
      <c r="AH98" s="98"/>
      <c r="AI98" s="98"/>
      <c r="AJ98" s="98"/>
      <c r="AK98" s="98"/>
      <c r="AL98" s="98"/>
      <c r="AM98" s="98"/>
      <c r="AN98" s="98"/>
      <c r="AO98" s="98"/>
      <c r="AP98" s="111"/>
      <c r="AQ98" s="98"/>
      <c r="AR98" s="98"/>
      <c r="AS98" s="98"/>
      <c r="AT98" s="98"/>
      <c r="AU98" s="136"/>
      <c r="AV98" s="136"/>
      <c r="AW98" s="136"/>
      <c r="AX98" s="136"/>
      <c r="AY98" s="137"/>
    </row>
    <row r="99" spans="1:51" x14ac:dyDescent="0.2">
      <c r="A99" s="123" t="str">
        <f>'ch soc'!A135</f>
        <v>REGIME COMPLEMENTAIRE</v>
      </c>
      <c r="B99" s="98"/>
      <c r="C99" s="98"/>
      <c r="D99" s="98"/>
      <c r="E99" s="98"/>
      <c r="F99" s="98"/>
      <c r="G99" s="98"/>
      <c r="H99" s="98"/>
      <c r="I99" s="98"/>
      <c r="J99" s="98"/>
      <c r="K99" s="98"/>
      <c r="L99" s="98"/>
      <c r="M99" s="98"/>
      <c r="N99" s="98"/>
      <c r="O99" s="98"/>
      <c r="P99" s="127" t="s">
        <v>129</v>
      </c>
      <c r="Q99" s="98"/>
      <c r="R99" s="98"/>
      <c r="S99" s="98"/>
      <c r="T99" s="98"/>
      <c r="U99" s="136"/>
      <c r="V99" s="136"/>
      <c r="W99" s="136">
        <f>IF(K35&lt;=$L$35,K35*$M$35,$L$35*$M$35)</f>
        <v>10800</v>
      </c>
      <c r="X99" s="136"/>
      <c r="Y99" s="137"/>
      <c r="Z99" s="105"/>
      <c r="AA99" s="123" t="s">
        <v>69</v>
      </c>
      <c r="AB99" s="98"/>
      <c r="AC99" s="98"/>
      <c r="AD99" s="98"/>
      <c r="AE99" s="98"/>
      <c r="AF99" s="98"/>
      <c r="AG99" s="98"/>
      <c r="AH99" s="98"/>
      <c r="AI99" s="98"/>
      <c r="AJ99" s="98"/>
      <c r="AK99" s="98"/>
      <c r="AL99" s="98"/>
      <c r="AM99" s="98"/>
      <c r="AN99" s="98"/>
      <c r="AO99" s="98"/>
      <c r="AP99" s="127" t="s">
        <v>129</v>
      </c>
      <c r="AQ99" s="98"/>
      <c r="AR99" s="98"/>
      <c r="AS99" s="98"/>
      <c r="AT99" s="98"/>
      <c r="AU99" s="136"/>
      <c r="AV99" s="136"/>
      <c r="AW99" s="136">
        <f>IF(K35&lt;=$L$35,K35*$M$35,$L$35*$M$35)</f>
        <v>10800</v>
      </c>
      <c r="AX99" s="136"/>
      <c r="AY99" s="137"/>
    </row>
    <row r="100" spans="1:51" x14ac:dyDescent="0.2">
      <c r="A100" s="123" t="str">
        <f>'ch soc'!A136</f>
        <v xml:space="preserve">  forfait/tranche</v>
      </c>
      <c r="B100" s="98"/>
      <c r="C100" s="98">
        <f ca="1">IF(C94&lt;=$L$24,$M$24,IF(C94&lt;=$L$25,$M$25,IF(C94&lt;=$L$26,$M$26,IF(C94&lt;=$L27,$M$27,IF(C94&lt;=$L$28,$M$28,IF(C94&lt;=$L$29,$M$29,$M$30))))))</f>
        <v>10920</v>
      </c>
      <c r="D100" s="98"/>
      <c r="E100" s="98"/>
      <c r="F100" s="98"/>
      <c r="G100" s="98">
        <f>$K$11</f>
        <v>1200</v>
      </c>
      <c r="H100" s="98"/>
      <c r="I100" s="98">
        <f>$K$13</f>
        <v>2268</v>
      </c>
      <c r="J100" s="94"/>
      <c r="K100" s="98"/>
      <c r="L100" s="127"/>
      <c r="M100" s="98"/>
      <c r="N100" s="127"/>
      <c r="O100" s="98"/>
      <c r="P100" s="98" t="s">
        <v>131</v>
      </c>
      <c r="Q100" s="98">
        <f>$O$45</f>
        <v>4880</v>
      </c>
      <c r="R100" s="98"/>
      <c r="S100" s="139">
        <f>$K$13</f>
        <v>2268</v>
      </c>
      <c r="T100" s="136" t="s">
        <v>224</v>
      </c>
      <c r="U100" s="136">
        <f>IF(U91&lt;=$L$31,$M$31,IF(U91&lt;=$L$32,$M$32,$M$33))</f>
        <v>9662</v>
      </c>
      <c r="V100" s="136"/>
      <c r="W100" s="136">
        <f>$M$36</f>
        <v>891</v>
      </c>
      <c r="X100" s="136"/>
      <c r="Y100" s="137">
        <f ca="1">IF(Y94&lt;=L$37,$M$37,IF(Y94&lt;=$L$38,$M$38,IF(Y94&lt;=$L$39,$M$39,IF(Y94&lt;=$L$40,$M$40,IF(Y94&lt;=$L$41,$M$41,$M$42)))))</f>
        <v>11760</v>
      </c>
      <c r="Z100" s="105"/>
      <c r="AA100" s="123" t="s">
        <v>156</v>
      </c>
      <c r="AB100" s="98"/>
      <c r="AC100" s="98">
        <f ca="1">IF(AC94&lt;=$L$24,$M$24,IF(AC94&lt;=$L$25,$M$25,IF(AC94&lt;=$L$26,$M$26,IF(AC94&lt;=$L27,$M$27,IF(AC94&lt;=$L$28,$M$28,IF(AC94&lt;=$L$29,$M$29,$M$30))))))</f>
        <v>10920</v>
      </c>
      <c r="AD100" s="98"/>
      <c r="AE100" s="98"/>
      <c r="AF100" s="98"/>
      <c r="AG100" s="98">
        <f>$K$11</f>
        <v>1200</v>
      </c>
      <c r="AH100" s="98"/>
      <c r="AI100" s="98">
        <f>$K$13</f>
        <v>2268</v>
      </c>
      <c r="AJ100" s="94"/>
      <c r="AK100" s="98"/>
      <c r="AL100" s="127"/>
      <c r="AM100" s="98"/>
      <c r="AN100" s="127"/>
      <c r="AO100" s="98"/>
      <c r="AP100" s="98" t="s">
        <v>131</v>
      </c>
      <c r="AQ100" s="98">
        <f>$O$45</f>
        <v>4880</v>
      </c>
      <c r="AR100" s="98"/>
      <c r="AS100" s="139">
        <f>+$K$13</f>
        <v>2268</v>
      </c>
      <c r="AT100" s="136" t="s">
        <v>224</v>
      </c>
      <c r="AU100" s="136">
        <f>IF(AU91&lt;=$L$31,$M$31,IF(AU91&lt;=$L$32,$M$32,$M$33))</f>
        <v>9662</v>
      </c>
      <c r="AV100" s="136"/>
      <c r="AW100" s="136">
        <f>$M$36</f>
        <v>891</v>
      </c>
      <c r="AX100" s="136"/>
      <c r="AY100" s="137">
        <f ca="1">IF(AY94&lt;=AL$37,$M$37,IF(AY94&lt;=$L$38,$M$38,IF(AY94&lt;=$L$39,$M$39,IF(AY94&lt;=$L$40,$M$40,IF(AY94&lt;=$L$41,$M$41,$M$42)))))</f>
        <v>11760</v>
      </c>
    </row>
    <row r="101" spans="1:51" x14ac:dyDescent="0.2">
      <c r="A101" s="123" t="str">
        <f>'ch soc'!A137</f>
        <v xml:space="preserve">  cotisation proportionnelle</v>
      </c>
      <c r="B101" s="98"/>
      <c r="C101" s="98"/>
      <c r="D101" s="98"/>
      <c r="E101" s="98">
        <f ca="1">IF(E94&lt;=$L$3,E94*$M$3,IF(AND(E94&gt;$L$3,E94&lt;$L$4),(E94-$L$3)*$M$4+$L$3*$M$3,IF(E94&gt;$L$4,($L$4-$L$3)*$M$4+$L$3*$M$3,"")))</f>
        <v>5132.7354162753645</v>
      </c>
      <c r="F101" s="98"/>
      <c r="G101" s="98">
        <f ca="1">IF(G94&lt;=$L$9,0,IF(AND(G94&gt;$L$9,G94&lt;=$L$10),(G94-$L$9)*$M$10,IF(G94&gt;$L$10,($L$10-$L$9)*$M$10,0)))</f>
        <v>2343.6667726840024</v>
      </c>
      <c r="H101" s="98"/>
      <c r="I101" s="98">
        <f ca="1">IF(AND(I94&gt;$E$3,I94&lt;$L$14),(I94-$E$3)*$M$14,IF(I94&gt;$L$14,($L$14-$E$3)*$M$14,0))</f>
        <v>6801.6225756133417</v>
      </c>
      <c r="J101" s="94"/>
      <c r="K101" s="98">
        <f ca="1">IF(K94&lt;=$L$15,$M$15,IF(K94&lt;=$L$16,$M$16,IF(K94&lt;=$L$17,$M$17,IF(K94&lt;=$L$18,$M$18,IF(K94&lt;=$L$19,$M$19,IF(K94&lt;=$L$20,$M$20,IF(K94&lt;=$L$21,$M$21,$M$22)))))))</f>
        <v>12948</v>
      </c>
      <c r="L101" s="94"/>
      <c r="M101" s="98">
        <f ca="1">IF(M94&lt;=$L$23,M94*$M$23,L23*$M$23)</f>
        <v>9509.8767695642746</v>
      </c>
      <c r="N101" s="94"/>
      <c r="O101" s="98">
        <f ca="1">IF(O94&lt;=$L$23,O94*$M$23,L23*$M$23)</f>
        <v>9509.8767695642746</v>
      </c>
      <c r="P101" s="98"/>
      <c r="Q101" s="98"/>
      <c r="R101" s="98"/>
      <c r="S101" s="70">
        <f ca="1">IF(AND($S$94&gt;$E$3,$S$94&lt;=$L$14),($S$94-$E$3)*$M$14,IF($S$94&gt;$L$14,($L$14-$E$3)*$M$14,0))</f>
        <v>6801.6225756133417</v>
      </c>
      <c r="T101" s="136" t="s">
        <v>225</v>
      </c>
      <c r="U101" s="136"/>
      <c r="V101" s="136"/>
      <c r="W101" s="136"/>
      <c r="X101" s="136"/>
      <c r="Y101" s="137"/>
      <c r="Z101" s="105"/>
      <c r="AA101" s="123" t="s">
        <v>155</v>
      </c>
      <c r="AB101" s="98"/>
      <c r="AC101" s="98"/>
      <c r="AD101" s="98"/>
      <c r="AE101" s="98">
        <f ca="1">IF(AE94&lt;=$L$3,AE94*$M$3,IF(AND(AE94&gt;$L$3,AE94&lt;$L$4),(AE94-$L$3)*$M$4+$L$3*$M$3,IF(AE94&gt;$L$4,($L$4-$L$3)*$M$4+$L$3*$M$3,"")))</f>
        <v>5219.8186904058393</v>
      </c>
      <c r="AF101" s="98"/>
      <c r="AG101" s="98">
        <f ca="1">IF(AG94&lt;=$L$9,0,IF(AND(AG94&gt;$L$9,AG94&lt;=$L$10),(AG94-$L$9)*$M$10,IF(AG94&gt;$L$10,($L$10-$L$9)*$M$10,0)))</f>
        <v>2386.354652159725</v>
      </c>
      <c r="AH101" s="98"/>
      <c r="AI101" s="98">
        <f ca="1">IF(AND(AI94&gt;$E$3,AI94&lt;$L$14),(AI94-$E$3)*$M$14,IF(AI94&gt;$L$14,($L$14-$E$3)*$M$14,0))</f>
        <v>6943.9155071990845</v>
      </c>
      <c r="AJ101" s="94"/>
      <c r="AK101" s="98">
        <f ca="1">IF(AK94&lt;=$L$15,$M$15,IF(AK94&lt;=$L$16,$M$16,IF(AK94&lt;=$L$17,$M$17,IF(AK94&lt;=$L$18,$M$18,IF(AK94&lt;=$L$19,$M$19,IF(AK94&lt;=$L$20,$M$20,IF(AK94&lt;=$L$21,$M$21,$M$22)))))))</f>
        <v>12948</v>
      </c>
      <c r="AL101" s="94"/>
      <c r="AM101" s="98">
        <f ca="1">IF(AM94&lt;=$L$23,AM94*$M$23,$L$23*$M$23)</f>
        <v>9640.7862666231576</v>
      </c>
      <c r="AN101" s="94"/>
      <c r="AO101" s="98">
        <f ca="1">IF(AO94&lt;=$L$23,AO94*$M$23,$L$23*$M$23)</f>
        <v>9640.7862666231576</v>
      </c>
      <c r="AP101" s="98"/>
      <c r="AQ101" s="98"/>
      <c r="AR101" s="98"/>
      <c r="AS101" s="70">
        <f ca="1">IF(AND($AS$94&gt;$E$3,$AS$94&lt;=$L$14),($AS$94-$E$3)*$M$14,IF($AS$94&gt;$L$14,($L$14-$E$3)*$M$14,0))</f>
        <v>6943.9155071990845</v>
      </c>
      <c r="AT101" s="136" t="s">
        <v>225</v>
      </c>
      <c r="AU101" s="136"/>
      <c r="AV101" s="136"/>
      <c r="AW101" s="136"/>
      <c r="AX101" s="136"/>
      <c r="AY101" s="137"/>
    </row>
    <row r="102" spans="1:51" x14ac:dyDescent="0.2">
      <c r="A102" s="123"/>
      <c r="B102" s="98"/>
      <c r="C102" s="98"/>
      <c r="D102" s="98"/>
      <c r="E102" s="98"/>
      <c r="F102" s="98"/>
      <c r="G102" s="98"/>
      <c r="H102" s="98"/>
      <c r="I102" s="98"/>
      <c r="J102" s="98"/>
      <c r="K102" s="98"/>
      <c r="L102" s="98"/>
      <c r="M102" s="98"/>
      <c r="N102" s="98"/>
      <c r="O102" s="98"/>
      <c r="P102" s="98"/>
      <c r="Q102" s="98"/>
      <c r="R102" s="98"/>
      <c r="S102" s="98"/>
      <c r="T102" s="98"/>
      <c r="U102" s="136"/>
      <c r="V102" s="136"/>
      <c r="W102" s="136"/>
      <c r="X102" s="136"/>
      <c r="Y102" s="137"/>
      <c r="Z102" s="105"/>
      <c r="AA102" s="123"/>
      <c r="AB102" s="98"/>
      <c r="AC102" s="98"/>
      <c r="AD102" s="98"/>
      <c r="AE102" s="98"/>
      <c r="AF102" s="98"/>
      <c r="AG102" s="98"/>
      <c r="AH102" s="98"/>
      <c r="AI102" s="98"/>
      <c r="AJ102" s="98"/>
      <c r="AK102" s="98"/>
      <c r="AL102" s="98"/>
      <c r="AM102" s="98"/>
      <c r="AN102" s="98"/>
      <c r="AO102" s="98"/>
      <c r="AP102" s="98"/>
      <c r="AQ102" s="98"/>
      <c r="AR102" s="98"/>
      <c r="AS102" s="98"/>
      <c r="AT102" s="98"/>
      <c r="AU102" s="136"/>
      <c r="AV102" s="136"/>
      <c r="AW102" s="136"/>
      <c r="AX102" s="136"/>
      <c r="AY102" s="137"/>
    </row>
    <row r="103" spans="1:51" x14ac:dyDescent="0.2">
      <c r="A103" s="140" t="str">
        <f>'ch soc'!A145</f>
        <v>INVALIDITE DECES</v>
      </c>
      <c r="B103" s="136"/>
      <c r="C103" s="98">
        <f>$O$24</f>
        <v>76</v>
      </c>
      <c r="D103" s="98"/>
      <c r="E103" s="98">
        <f>$O$3</f>
        <v>137</v>
      </c>
      <c r="F103" s="98"/>
      <c r="G103" s="98">
        <f>$O$10</f>
        <v>654</v>
      </c>
      <c r="H103" s="98"/>
      <c r="I103" s="98">
        <f>$O$14</f>
        <v>1064</v>
      </c>
      <c r="J103" s="98"/>
      <c r="K103" s="141">
        <f>IF(K91&lt;=$L$15,$O$15,IF(K91&lt;=$L$17,$O$17,IF(K91&lt;=$L$21,$O$21,$O$22)))</f>
        <v>864</v>
      </c>
      <c r="L103" s="98"/>
      <c r="M103" s="98">
        <f>$O$23</f>
        <v>700</v>
      </c>
      <c r="N103" s="98"/>
      <c r="O103" s="98">
        <f>$O$23</f>
        <v>700</v>
      </c>
      <c r="P103" s="98"/>
      <c r="Q103" s="98">
        <f>$O$46</f>
        <v>544</v>
      </c>
      <c r="R103" s="98"/>
      <c r="S103" s="98">
        <f>$O$48</f>
        <v>98</v>
      </c>
      <c r="T103" s="98"/>
      <c r="U103" s="136">
        <f>$O$31</f>
        <v>403</v>
      </c>
      <c r="V103" s="136"/>
      <c r="W103" s="136"/>
      <c r="X103" s="136"/>
      <c r="Y103" s="137">
        <f>$O$37</f>
        <v>440</v>
      </c>
      <c r="Z103" s="105"/>
      <c r="AA103" s="140" t="s">
        <v>70</v>
      </c>
      <c r="AB103" s="136"/>
      <c r="AC103" s="98">
        <f>$O$24</f>
        <v>76</v>
      </c>
      <c r="AD103" s="98"/>
      <c r="AE103" s="98">
        <f>$O$3</f>
        <v>137</v>
      </c>
      <c r="AF103" s="98"/>
      <c r="AG103" s="98">
        <f>$O$10</f>
        <v>654</v>
      </c>
      <c r="AH103" s="98"/>
      <c r="AI103" s="98">
        <f>$O$14</f>
        <v>1064</v>
      </c>
      <c r="AJ103" s="98"/>
      <c r="AK103" s="141">
        <f>IF(AK91&lt;=$L$15,$O$15,IF(AK91&lt;=$L$17,$O$17,IF(AK91&lt;=$L$21,$O$21,$O$22)))</f>
        <v>864</v>
      </c>
      <c r="AL103" s="98"/>
      <c r="AM103" s="98">
        <f>$O$23</f>
        <v>700</v>
      </c>
      <c r="AN103" s="98"/>
      <c r="AO103" s="98">
        <f>$O$23</f>
        <v>700</v>
      </c>
      <c r="AP103" s="98"/>
      <c r="AQ103" s="98">
        <f>$O$46</f>
        <v>544</v>
      </c>
      <c r="AR103" s="98"/>
      <c r="AS103" s="98">
        <f>$O$48</f>
        <v>98</v>
      </c>
      <c r="AT103" s="98"/>
      <c r="AU103" s="136">
        <f>$O$31</f>
        <v>403</v>
      </c>
      <c r="AV103" s="136"/>
      <c r="AW103" s="136"/>
      <c r="AX103" s="136"/>
      <c r="AY103" s="137">
        <f>$O$37</f>
        <v>440</v>
      </c>
    </row>
    <row r="104" spans="1:51" x14ac:dyDescent="0.2">
      <c r="A104" s="140" t="str">
        <f>'ch soc'!A146</f>
        <v>INDEMNITES JL</v>
      </c>
      <c r="B104" s="136"/>
      <c r="C104" s="98"/>
      <c r="D104" s="98"/>
      <c r="E104" s="98"/>
      <c r="F104" s="98"/>
      <c r="G104" s="98"/>
      <c r="H104" s="98"/>
      <c r="I104" s="98">
        <f>$Q$14</f>
        <v>222</v>
      </c>
      <c r="J104" s="98"/>
      <c r="K104" s="98"/>
      <c r="L104" s="98"/>
      <c r="M104" s="98"/>
      <c r="N104" s="98"/>
      <c r="O104" s="98"/>
      <c r="P104" s="98"/>
      <c r="Q104" s="98"/>
      <c r="R104" s="98"/>
      <c r="S104" s="98"/>
      <c r="T104" s="98"/>
      <c r="U104" s="136"/>
      <c r="V104" s="136"/>
      <c r="W104" s="136"/>
      <c r="X104" s="136"/>
      <c r="Y104" s="137"/>
      <c r="Z104" s="105"/>
      <c r="AA104" s="140" t="s">
        <v>254</v>
      </c>
      <c r="AB104" s="136"/>
      <c r="AC104" s="98"/>
      <c r="AD104" s="98"/>
      <c r="AE104" s="98"/>
      <c r="AF104" s="98"/>
      <c r="AG104" s="98"/>
      <c r="AH104" s="98"/>
      <c r="AI104" s="98">
        <f>$Q$14</f>
        <v>222</v>
      </c>
      <c r="AJ104" s="98"/>
      <c r="AK104" s="98"/>
      <c r="AL104" s="98"/>
      <c r="AM104" s="98"/>
      <c r="AN104" s="98"/>
      <c r="AO104" s="98"/>
      <c r="AP104" s="98"/>
      <c r="AQ104" s="98"/>
      <c r="AR104" s="98"/>
      <c r="AS104" s="98"/>
      <c r="AT104" s="98"/>
      <c r="AU104" s="136"/>
      <c r="AV104" s="136"/>
      <c r="AW104" s="136"/>
      <c r="AX104" s="136"/>
      <c r="AY104" s="137"/>
    </row>
    <row r="105" spans="1:51" x14ac:dyDescent="0.2">
      <c r="A105" s="140" t="str">
        <f>'ch soc'!A147</f>
        <v>PCV/ASV</v>
      </c>
      <c r="B105" s="136"/>
      <c r="C105" s="98"/>
      <c r="D105" s="98"/>
      <c r="E105" s="98"/>
      <c r="F105" s="98"/>
      <c r="G105" s="98">
        <f>$Q$10</f>
        <v>180</v>
      </c>
      <c r="H105" s="98"/>
      <c r="I105" s="98">
        <f>$S$14</f>
        <v>1300</v>
      </c>
      <c r="J105" s="98"/>
      <c r="K105" s="98"/>
      <c r="L105" s="98"/>
      <c r="M105" s="98">
        <f>$S$23</f>
        <v>1380</v>
      </c>
      <c r="N105" s="98"/>
      <c r="O105" s="98">
        <f>$S$23</f>
        <v>1380</v>
      </c>
      <c r="P105" s="98"/>
      <c r="Q105" s="98">
        <f>$S$46</f>
        <v>438</v>
      </c>
      <c r="R105" s="98"/>
      <c r="S105" s="98">
        <f>$S$48</f>
        <v>229</v>
      </c>
      <c r="T105" s="98"/>
      <c r="U105" s="136"/>
      <c r="V105" s="136"/>
      <c r="W105" s="136"/>
      <c r="X105" s="136"/>
      <c r="Y105" s="137"/>
      <c r="Z105" s="105"/>
      <c r="AA105" s="140" t="s">
        <v>255</v>
      </c>
      <c r="AB105" s="136"/>
      <c r="AC105" s="98"/>
      <c r="AD105" s="98"/>
      <c r="AE105" s="98"/>
      <c r="AF105" s="98"/>
      <c r="AG105" s="98">
        <f>$Q$10</f>
        <v>180</v>
      </c>
      <c r="AH105" s="98"/>
      <c r="AI105" s="98">
        <f>$S$14</f>
        <v>1300</v>
      </c>
      <c r="AJ105" s="98"/>
      <c r="AK105" s="98"/>
      <c r="AL105" s="98"/>
      <c r="AM105" s="98">
        <f>$S$23</f>
        <v>1380</v>
      </c>
      <c r="AN105" s="98"/>
      <c r="AO105" s="98">
        <f>$S$23</f>
        <v>1380</v>
      </c>
      <c r="AP105" s="98"/>
      <c r="AQ105" s="98">
        <f>$S$46</f>
        <v>438</v>
      </c>
      <c r="AR105" s="98"/>
      <c r="AS105" s="98">
        <f>$S$48</f>
        <v>229</v>
      </c>
      <c r="AT105" s="98"/>
      <c r="AU105" s="136"/>
      <c r="AV105" s="136"/>
      <c r="AW105" s="136"/>
      <c r="AX105" s="136"/>
      <c r="AY105" s="137"/>
    </row>
    <row r="106" spans="1:51" x14ac:dyDescent="0.2">
      <c r="A106" s="140" t="str">
        <f>'ch soc'!A148</f>
        <v>PCV/ASV  PROPORTIONNELLE</v>
      </c>
      <c r="B106" s="136"/>
      <c r="C106" s="98"/>
      <c r="D106" s="98"/>
      <c r="E106" s="98"/>
      <c r="F106" s="98"/>
      <c r="G106" s="98"/>
      <c r="H106" s="98"/>
      <c r="I106" s="98">
        <f ca="1">IF(I94&lt;E3*5,I94*0.375%,E3*5*0.375%)</f>
        <v>387.63084658550031</v>
      </c>
      <c r="J106" s="98"/>
      <c r="K106" s="98"/>
      <c r="L106" s="98"/>
      <c r="M106" s="98"/>
      <c r="N106" s="98"/>
      <c r="O106" s="98"/>
      <c r="P106" s="98"/>
      <c r="Q106" s="98">
        <f ca="1">IF($B$28&lt;E3*5,$B$28*$S$47,$E$3*5*$S$47)</f>
        <v>155.05233863420011</v>
      </c>
      <c r="R106" s="98"/>
      <c r="S106" s="98"/>
      <c r="T106" s="98"/>
      <c r="U106" s="136"/>
      <c r="V106" s="136"/>
      <c r="W106" s="136"/>
      <c r="X106" s="136"/>
      <c r="Y106" s="137"/>
      <c r="Z106" s="105"/>
      <c r="AA106" s="140" t="s">
        <v>283</v>
      </c>
      <c r="AB106" s="136"/>
      <c r="AC106" s="98"/>
      <c r="AD106" s="98"/>
      <c r="AE106" s="98"/>
      <c r="AF106" s="98"/>
      <c r="AG106" s="98"/>
      <c r="AH106" s="98"/>
      <c r="AI106" s="98">
        <f ca="1">IF(AI94&lt;E3*5,AI94*0.375%,E3*5*0.375%)</f>
        <v>392.96683151996564</v>
      </c>
      <c r="AJ106" s="98"/>
      <c r="AK106" s="98"/>
      <c r="AL106" s="98"/>
      <c r="AM106" s="98"/>
      <c r="AN106" s="98"/>
      <c r="AO106" s="98"/>
      <c r="AP106" s="98"/>
      <c r="AQ106" s="98">
        <f ca="1">IF($AQ$94&lt;$E$3*5,$AQ$94*$S$47,$E$3*5*$S$47)</f>
        <v>157.18673260798627</v>
      </c>
      <c r="AR106" s="98"/>
      <c r="AS106" s="98"/>
      <c r="AT106" s="98"/>
      <c r="AU106" s="136"/>
      <c r="AV106" s="136"/>
      <c r="AW106" s="136"/>
      <c r="AX106" s="136"/>
      <c r="AY106" s="137"/>
    </row>
    <row r="107" spans="1:51" x14ac:dyDescent="0.2">
      <c r="A107" s="140" t="str">
        <f>'ch soc'!A149</f>
        <v xml:space="preserve">AUXILIAIRES </v>
      </c>
      <c r="B107" s="136" t="str">
        <f>'ch soc'!B149</f>
        <v>MEDICAUX</v>
      </c>
      <c r="C107" s="98"/>
      <c r="D107" s="98"/>
      <c r="E107" s="98"/>
      <c r="F107" s="98"/>
      <c r="G107" s="98"/>
      <c r="H107" s="98"/>
      <c r="I107" s="98"/>
      <c r="J107" s="98"/>
      <c r="K107" s="98"/>
      <c r="L107" s="98"/>
      <c r="M107" s="98"/>
      <c r="N107" s="98"/>
      <c r="O107" s="98"/>
      <c r="P107" s="98"/>
      <c r="Q107" s="98"/>
      <c r="R107" s="98"/>
      <c r="S107" s="98"/>
      <c r="T107" s="98"/>
      <c r="U107" s="136"/>
      <c r="V107" s="136"/>
      <c r="W107" s="136"/>
      <c r="X107" s="136"/>
      <c r="Y107" s="137"/>
      <c r="Z107" s="105"/>
      <c r="AA107" s="140" t="s">
        <v>72</v>
      </c>
      <c r="AB107" s="136" t="s">
        <v>73</v>
      </c>
      <c r="AC107" s="98"/>
      <c r="AD107" s="98"/>
      <c r="AE107" s="98"/>
      <c r="AF107" s="98"/>
      <c r="AG107" s="98"/>
      <c r="AH107" s="98"/>
      <c r="AI107" s="98"/>
      <c r="AJ107" s="98"/>
      <c r="AK107" s="98"/>
      <c r="AL107" s="98"/>
      <c r="AM107" s="98"/>
      <c r="AN107" s="98"/>
      <c r="AO107" s="98"/>
      <c r="AP107" s="98"/>
      <c r="AQ107" s="98"/>
      <c r="AR107" s="98"/>
      <c r="AS107" s="98"/>
      <c r="AT107" s="98"/>
      <c r="AU107" s="136"/>
      <c r="AV107" s="136"/>
      <c r="AW107" s="136"/>
      <c r="AX107" s="136"/>
      <c r="AY107" s="137"/>
    </row>
    <row r="108" spans="1:51" x14ac:dyDescent="0.2">
      <c r="A108" s="123"/>
      <c r="B108" s="98"/>
      <c r="C108" s="98"/>
      <c r="D108" s="98"/>
      <c r="E108" s="98"/>
      <c r="F108" s="98"/>
      <c r="G108" s="98"/>
      <c r="H108" s="98"/>
      <c r="I108" s="98"/>
      <c r="J108" s="98"/>
      <c r="K108" s="98"/>
      <c r="L108" s="98"/>
      <c r="M108" s="98"/>
      <c r="N108" s="98"/>
      <c r="O108" s="98"/>
      <c r="P108" s="98"/>
      <c r="Q108" s="98"/>
      <c r="R108" s="98"/>
      <c r="S108" s="98"/>
      <c r="T108" s="98"/>
      <c r="U108" s="136"/>
      <c r="V108" s="136"/>
      <c r="W108" s="136"/>
      <c r="X108" s="136"/>
      <c r="Y108" s="137"/>
      <c r="Z108" s="105"/>
      <c r="AA108" s="123"/>
      <c r="AB108" s="98"/>
      <c r="AC108" s="98"/>
      <c r="AD108" s="98"/>
      <c r="AE108" s="98"/>
      <c r="AF108" s="98"/>
      <c r="AG108" s="98"/>
      <c r="AH108" s="98"/>
      <c r="AI108" s="98"/>
      <c r="AJ108" s="98"/>
      <c r="AK108" s="98"/>
      <c r="AL108" s="98"/>
      <c r="AM108" s="98"/>
      <c r="AN108" s="98"/>
      <c r="AO108" s="98"/>
      <c r="AP108" s="98"/>
      <c r="AQ108" s="98"/>
      <c r="AR108" s="98"/>
      <c r="AS108" s="98"/>
      <c r="AT108" s="98"/>
      <c r="AU108" s="136"/>
      <c r="AV108" s="136"/>
      <c r="AW108" s="136"/>
      <c r="AX108" s="136"/>
      <c r="AY108" s="137"/>
    </row>
    <row r="109" spans="1:51" x14ac:dyDescent="0.2">
      <c r="A109" s="123" t="str">
        <f>'ch soc'!A153</f>
        <v>ALLOC DE REMPLACEMENT</v>
      </c>
      <c r="B109" s="98"/>
      <c r="C109" s="98"/>
      <c r="D109" s="98"/>
      <c r="E109" s="98"/>
      <c r="F109" s="98"/>
      <c r="G109" s="98"/>
      <c r="H109" s="98"/>
      <c r="I109" s="98"/>
      <c r="J109" s="98"/>
      <c r="K109" s="98"/>
      <c r="L109" s="142"/>
      <c r="M109" s="98">
        <f ca="1">M94*$H$16</f>
        <v>36.178879014646697</v>
      </c>
      <c r="N109" s="127"/>
      <c r="O109" s="98">
        <f ca="1">M94*$H$16</f>
        <v>36.178879014646697</v>
      </c>
      <c r="P109" s="98"/>
      <c r="Q109" s="98"/>
      <c r="R109" s="98"/>
      <c r="S109" s="98"/>
      <c r="T109" s="98"/>
      <c r="U109" s="136"/>
      <c r="V109" s="136"/>
      <c r="W109" s="136"/>
      <c r="X109" s="136"/>
      <c r="Y109" s="137"/>
      <c r="Z109" s="105"/>
      <c r="AA109" s="123" t="s">
        <v>71</v>
      </c>
      <c r="AB109" s="98"/>
      <c r="AC109" s="98"/>
      <c r="AD109" s="98"/>
      <c r="AE109" s="98"/>
      <c r="AF109" s="98"/>
      <c r="AG109" s="98"/>
      <c r="AH109" s="98"/>
      <c r="AI109" s="98"/>
      <c r="AJ109" s="98"/>
      <c r="AK109" s="98"/>
      <c r="AL109" s="142"/>
      <c r="AM109" s="98">
        <f ca="1">AM94*$H$16</f>
        <v>36.676904275196797</v>
      </c>
      <c r="AN109" s="127"/>
      <c r="AO109" s="98">
        <f ca="1">AO94*$H$16</f>
        <v>36.676904275196797</v>
      </c>
      <c r="AP109" s="98"/>
      <c r="AQ109" s="98"/>
      <c r="AR109" s="98"/>
      <c r="AS109" s="98"/>
      <c r="AT109" s="98"/>
      <c r="AU109" s="136"/>
      <c r="AV109" s="136"/>
      <c r="AW109" s="136"/>
      <c r="AX109" s="136"/>
      <c r="AY109" s="137"/>
    </row>
    <row r="110" spans="1:51" x14ac:dyDescent="0.2">
      <c r="A110" s="125"/>
      <c r="B110" s="29"/>
      <c r="C110" s="29"/>
      <c r="D110" s="29"/>
      <c r="E110" s="29"/>
      <c r="F110" s="29"/>
      <c r="G110" s="29"/>
      <c r="H110" s="29"/>
      <c r="I110" s="29"/>
      <c r="J110" s="29"/>
      <c r="K110" s="29"/>
      <c r="L110" s="29"/>
      <c r="M110" s="29"/>
      <c r="N110" s="29"/>
      <c r="O110" s="29"/>
      <c r="P110" s="29"/>
      <c r="Q110" s="29"/>
      <c r="R110" s="29"/>
      <c r="S110" s="29"/>
      <c r="T110" s="29"/>
      <c r="U110" s="29"/>
      <c r="V110" s="29"/>
      <c r="W110" s="29"/>
      <c r="X110" s="29"/>
      <c r="Y110" s="129"/>
      <c r="AA110" s="125"/>
      <c r="AB110" s="29"/>
      <c r="AC110" s="29"/>
      <c r="AD110" s="29"/>
      <c r="AE110" s="29"/>
      <c r="AF110" s="29"/>
      <c r="AG110" s="29"/>
      <c r="AH110" s="29"/>
      <c r="AI110" s="29"/>
      <c r="AJ110" s="29"/>
      <c r="AK110" s="29"/>
      <c r="AL110" s="29"/>
      <c r="AM110" s="29"/>
      <c r="AN110" s="29"/>
      <c r="AO110" s="29"/>
      <c r="AP110" s="29"/>
      <c r="AQ110" s="29"/>
      <c r="AR110" s="29"/>
      <c r="AS110" s="29"/>
      <c r="AT110" s="29"/>
      <c r="AU110" s="29"/>
      <c r="AV110" s="29"/>
      <c r="AW110" s="29"/>
      <c r="AX110" s="29"/>
      <c r="AY110" s="129"/>
    </row>
    <row r="111" spans="1:51" x14ac:dyDescent="0.2">
      <c r="A111" s="123" t="str">
        <f>'ch soc'!A155</f>
        <v>TOTAL</v>
      </c>
      <c r="B111" s="98"/>
      <c r="C111" s="98">
        <f ca="1">SUM(C95:C109)</f>
        <v>14753.335612098133</v>
      </c>
      <c r="D111" s="98"/>
      <c r="E111" s="98">
        <f ca="1">SUM(E95:E109)</f>
        <v>8870.468157154166</v>
      </c>
      <c r="F111" s="98"/>
      <c r="G111" s="98">
        <f ca="1">SUM(G95:G109)</f>
        <v>8135.0023847821367</v>
      </c>
      <c r="H111" s="98"/>
      <c r="I111" s="98">
        <f ca="1">SUM(I95:I109)</f>
        <v>15800.589034296976</v>
      </c>
      <c r="J111" s="98"/>
      <c r="K111" s="98">
        <f ca="1">SUM(K95:K109)</f>
        <v>17569.335612098133</v>
      </c>
      <c r="L111" s="98"/>
      <c r="M111" s="98">
        <f ca="1">SUM(M95:M109)</f>
        <v>15383.391260677055</v>
      </c>
      <c r="N111" s="98"/>
      <c r="O111" s="98">
        <f ca="1">SUM(O95:O109)</f>
        <v>15383.391260677055</v>
      </c>
      <c r="P111" s="98"/>
      <c r="Q111" s="98">
        <f ca="1">SUM(Q95:Q109)</f>
        <v>9774.3879507323327</v>
      </c>
      <c r="R111" s="98"/>
      <c r="S111" s="98">
        <f ca="1">SUM(S95:S109)</f>
        <v>13153.958187711476</v>
      </c>
      <c r="T111" s="98"/>
      <c r="U111" s="98">
        <f ca="1">SUM(U95:U109)</f>
        <v>13822.335612098133</v>
      </c>
      <c r="V111" s="136"/>
      <c r="W111" s="98">
        <f ca="1">SUM(W95:W109)</f>
        <v>15448.335612098133</v>
      </c>
      <c r="X111" s="136"/>
      <c r="Y111" s="124">
        <f ca="1">SUM(Y95:Y109)</f>
        <v>15957.335612098133</v>
      </c>
      <c r="Z111" s="105"/>
      <c r="AA111" s="123" t="s">
        <v>44</v>
      </c>
      <c r="AB111" s="98"/>
      <c r="AC111" s="98">
        <f ca="1">SUM(AC95:AC109)</f>
        <v>14776.102481151853</v>
      </c>
      <c r="AD111" s="98"/>
      <c r="AE111" s="98">
        <f ca="1">SUM(AE95:AE109)</f>
        <v>8987.4329469176482</v>
      </c>
      <c r="AF111" s="98"/>
      <c r="AG111" s="98">
        <f ca="1">SUM(AG95:AG109)</f>
        <v>8200.4571333115782</v>
      </c>
      <c r="AH111" s="98"/>
      <c r="AI111" s="98">
        <f ca="1">SUM(AI95:AI109)</f>
        <v>15970.984819870902</v>
      </c>
      <c r="AJ111" s="98"/>
      <c r="AK111" s="98">
        <f ca="1">SUM(AK95:AK109)</f>
        <v>17592.102481151855</v>
      </c>
      <c r="AL111" s="98"/>
      <c r="AM111" s="98">
        <f ca="1">SUM(AM95:AM109)</f>
        <v>15537.565652050207</v>
      </c>
      <c r="AN111" s="98"/>
      <c r="AO111" s="98">
        <f ca="1">SUM(AO95:AO109)</f>
        <v>15537.565652050207</v>
      </c>
      <c r="AP111" s="98"/>
      <c r="AQ111" s="98">
        <f ca="1">SUM(AQ95:AQ109)</f>
        <v>9799.2892137598392</v>
      </c>
      <c r="AR111" s="98"/>
      <c r="AS111" s="98">
        <f ca="1">SUM(AS95:AS109)</f>
        <v>13319.017988350937</v>
      </c>
      <c r="AT111" s="98"/>
      <c r="AU111" s="98">
        <f ca="1">SUM(AU95:AU109)</f>
        <v>13845.102481151853</v>
      </c>
      <c r="AV111" s="136"/>
      <c r="AW111" s="98">
        <f ca="1">SUM(AW95:AW109)</f>
        <v>15471.102481151853</v>
      </c>
      <c r="AX111" s="136"/>
      <c r="AY111" s="124">
        <f ca="1">SUM(AY95:AY109)</f>
        <v>15980.102481151853</v>
      </c>
    </row>
    <row r="112" spans="1:51" x14ac:dyDescent="0.2">
      <c r="A112" s="125"/>
      <c r="B112" s="29"/>
      <c r="C112" s="29"/>
      <c r="D112" s="29"/>
      <c r="E112" s="29"/>
      <c r="F112" s="29"/>
      <c r="G112" s="29"/>
      <c r="H112" s="29"/>
      <c r="I112" s="29"/>
      <c r="J112" s="29"/>
      <c r="K112" s="29"/>
      <c r="L112" s="29"/>
      <c r="M112" s="29"/>
      <c r="N112" s="29"/>
      <c r="O112" s="29"/>
      <c r="P112" s="29"/>
      <c r="Q112" s="29"/>
      <c r="R112" s="29"/>
      <c r="S112" s="29"/>
      <c r="T112" s="29"/>
      <c r="U112" s="29"/>
      <c r="V112" s="29"/>
      <c r="W112" s="29"/>
      <c r="X112" s="29"/>
      <c r="Y112" s="129"/>
      <c r="AA112" s="125"/>
      <c r="AB112" s="29"/>
      <c r="AC112" s="29"/>
      <c r="AD112" s="29"/>
      <c r="AE112" s="29"/>
      <c r="AF112" s="29"/>
      <c r="AG112" s="29"/>
      <c r="AH112" s="29"/>
      <c r="AI112" s="29"/>
      <c r="AJ112" s="29"/>
      <c r="AK112" s="29"/>
      <c r="AL112" s="29"/>
      <c r="AM112" s="29"/>
      <c r="AN112" s="29"/>
      <c r="AO112" s="29"/>
      <c r="AP112" s="29"/>
      <c r="AQ112" s="29"/>
      <c r="AR112" s="29"/>
      <c r="AS112" s="29"/>
      <c r="AT112" s="29"/>
      <c r="AU112" s="29"/>
      <c r="AV112" s="29"/>
      <c r="AW112" s="29"/>
      <c r="AX112" s="29"/>
      <c r="AY112" s="129"/>
    </row>
    <row r="113" spans="1:51" x14ac:dyDescent="0.2">
      <c r="A113" s="143"/>
      <c r="B113" s="144"/>
      <c r="C113" s="144"/>
      <c r="D113" s="144"/>
      <c r="E113" s="144"/>
      <c r="F113" s="144"/>
      <c r="G113" s="144"/>
      <c r="H113" s="144"/>
      <c r="I113" s="144"/>
      <c r="J113" s="144"/>
      <c r="K113" s="144"/>
      <c r="L113" s="144"/>
      <c r="M113" s="144"/>
      <c r="N113" s="144"/>
      <c r="O113" s="144"/>
      <c r="P113" s="144"/>
      <c r="Q113" s="144"/>
      <c r="R113" s="144"/>
      <c r="S113" s="144"/>
      <c r="T113" s="144"/>
      <c r="U113" s="144"/>
      <c r="V113" s="144"/>
      <c r="W113" s="144"/>
      <c r="X113" s="144"/>
      <c r="Y113" s="145"/>
      <c r="AA113" s="143"/>
      <c r="AB113" s="144"/>
      <c r="AC113" s="144"/>
      <c r="AD113" s="144"/>
      <c r="AE113" s="144"/>
      <c r="AF113" s="144"/>
      <c r="AG113" s="144"/>
      <c r="AH113" s="144"/>
      <c r="AI113" s="144"/>
      <c r="AJ113" s="144"/>
      <c r="AK113" s="144"/>
      <c r="AL113" s="144"/>
      <c r="AM113" s="144"/>
      <c r="AN113" s="144"/>
      <c r="AO113" s="144"/>
      <c r="AP113" s="144"/>
      <c r="AQ113" s="144"/>
      <c r="AR113" s="144"/>
      <c r="AS113" s="144"/>
      <c r="AT113" s="144"/>
      <c r="AU113" s="144"/>
      <c r="AV113" s="144"/>
      <c r="AW113" s="144"/>
      <c r="AX113" s="144"/>
      <c r="AY113" s="145"/>
    </row>
    <row r="114" spans="1:51" x14ac:dyDescent="0.2">
      <c r="A114" s="146"/>
      <c r="B114" s="98"/>
      <c r="C114" s="98"/>
      <c r="D114" s="98"/>
      <c r="E114" s="98"/>
      <c r="F114" s="98"/>
      <c r="G114" s="98"/>
      <c r="H114" s="98"/>
      <c r="I114" s="98"/>
      <c r="J114" s="98"/>
      <c r="K114" s="98"/>
      <c r="L114" s="98"/>
      <c r="M114" s="98"/>
      <c r="N114" s="98"/>
      <c r="O114" s="98"/>
      <c r="P114" s="98"/>
      <c r="Q114" s="98"/>
      <c r="R114" s="98"/>
      <c r="S114" s="98"/>
      <c r="T114" s="98"/>
      <c r="U114" s="104"/>
      <c r="V114" s="104"/>
      <c r="W114" s="104"/>
      <c r="X114" s="104"/>
      <c r="Y114" s="104"/>
      <c r="Z114" s="105"/>
      <c r="AA114" s="105"/>
    </row>
    <row r="115" spans="1:51" x14ac:dyDescent="0.2">
      <c r="A115" s="146"/>
      <c r="B115" s="98"/>
      <c r="C115" s="98"/>
      <c r="D115" s="98"/>
      <c r="E115" s="98"/>
      <c r="F115" s="98"/>
      <c r="G115" s="98"/>
      <c r="H115" s="98"/>
      <c r="I115" s="98"/>
      <c r="J115" s="98"/>
      <c r="K115" s="98"/>
      <c r="L115" s="98"/>
      <c r="M115" s="98"/>
      <c r="N115" s="98"/>
      <c r="O115" s="98"/>
      <c r="P115" s="98"/>
      <c r="Q115" s="98"/>
      <c r="R115" s="98"/>
      <c r="S115" s="98"/>
      <c r="T115" s="98"/>
      <c r="U115" s="104"/>
      <c r="V115" s="104"/>
      <c r="W115" s="104"/>
      <c r="X115" s="104"/>
      <c r="Y115" s="104"/>
      <c r="Z115" s="105"/>
      <c r="AA115" s="105"/>
    </row>
    <row r="116" spans="1:51" x14ac:dyDescent="0.2">
      <c r="A116" s="146"/>
      <c r="B116" s="98"/>
      <c r="C116" s="98"/>
      <c r="D116" s="98"/>
      <c r="E116" s="98"/>
      <c r="F116" s="98"/>
      <c r="G116" s="98"/>
      <c r="H116" s="98"/>
      <c r="I116" s="98"/>
      <c r="J116" s="98"/>
      <c r="K116" s="98"/>
      <c r="L116" s="98"/>
      <c r="M116" s="98"/>
      <c r="N116" s="98"/>
      <c r="O116" s="98"/>
      <c r="P116" s="98"/>
      <c r="Q116" s="98"/>
      <c r="R116" s="98"/>
      <c r="S116" s="98"/>
      <c r="T116" s="98"/>
      <c r="U116" s="104"/>
      <c r="V116" s="104"/>
      <c r="W116" s="104"/>
      <c r="X116" s="104"/>
      <c r="Y116" s="104"/>
      <c r="Z116" s="105"/>
      <c r="AA116" s="105"/>
    </row>
    <row r="118" spans="1:51" x14ac:dyDescent="0.2">
      <c r="A118" s="146"/>
      <c r="B118" s="98"/>
      <c r="C118" s="98"/>
      <c r="D118" s="98"/>
      <c r="E118" s="98"/>
      <c r="F118" s="98"/>
      <c r="G118" s="98"/>
      <c r="H118" s="98"/>
      <c r="I118" s="98"/>
      <c r="J118" s="98"/>
      <c r="K118" s="98"/>
      <c r="L118" s="98"/>
      <c r="M118" s="98"/>
      <c r="N118" s="98"/>
      <c r="O118" s="98"/>
      <c r="P118" s="98"/>
      <c r="Q118" s="98"/>
      <c r="R118" s="98"/>
      <c r="S118" s="98"/>
      <c r="T118" s="98"/>
      <c r="U118" s="104"/>
      <c r="V118" s="104"/>
      <c r="W118" s="104"/>
      <c r="X118" s="104"/>
      <c r="Y118" s="104"/>
      <c r="Z118" s="105"/>
      <c r="AA118" s="105"/>
    </row>
    <row r="120" spans="1:51" x14ac:dyDescent="0.2">
      <c r="A120" s="133"/>
      <c r="B120" s="121" t="str">
        <f>'ch soc'!B158</f>
        <v>COTISATION D'ASSURANCE MALADIE</v>
      </c>
      <c r="C120" s="121"/>
      <c r="D120" s="121"/>
      <c r="E120" s="122"/>
      <c r="F120" s="98"/>
      <c r="G120" s="133"/>
      <c r="H120" s="121"/>
      <c r="I120" s="121"/>
      <c r="J120" s="147"/>
      <c r="K120" s="147"/>
      <c r="L120" s="147"/>
      <c r="M120" s="148"/>
      <c r="N120" s="98"/>
      <c r="O120" s="98"/>
      <c r="P120" s="98"/>
      <c r="Q120" s="98"/>
      <c r="R120" s="98"/>
      <c r="S120" s="98"/>
      <c r="T120" s="98"/>
      <c r="U120" s="105"/>
      <c r="V120" s="105"/>
      <c r="W120" s="105"/>
      <c r="X120" s="105"/>
      <c r="Y120" s="105"/>
      <c r="Z120" s="105"/>
      <c r="AA120" s="105"/>
    </row>
    <row r="121" spans="1:51" s="29" customFormat="1" x14ac:dyDescent="0.2">
      <c r="A121" s="123"/>
      <c r="B121" s="98"/>
      <c r="C121" s="98"/>
      <c r="D121" s="98"/>
      <c r="E121" s="124"/>
      <c r="F121" s="98"/>
      <c r="G121" s="123"/>
      <c r="H121" s="98"/>
      <c r="I121" s="98"/>
      <c r="M121" s="129"/>
      <c r="N121" s="98"/>
      <c r="O121" s="98"/>
      <c r="P121" s="98"/>
      <c r="Q121" s="98"/>
      <c r="R121" s="98"/>
      <c r="S121" s="98"/>
      <c r="T121" s="98"/>
      <c r="U121" s="98"/>
      <c r="V121" s="98"/>
      <c r="W121" s="98"/>
      <c r="X121" s="98"/>
      <c r="Y121" s="98"/>
      <c r="Z121" s="136"/>
      <c r="AA121" s="141"/>
    </row>
    <row r="122" spans="1:51" x14ac:dyDescent="0.2">
      <c r="A122" s="123"/>
      <c r="B122" s="98"/>
      <c r="C122" s="98" t="s">
        <v>580</v>
      </c>
      <c r="D122" s="98" t="s">
        <v>309</v>
      </c>
      <c r="E122" s="124" t="s">
        <v>578</v>
      </c>
      <c r="G122" s="125"/>
      <c r="H122" s="98"/>
      <c r="I122" s="98"/>
      <c r="J122" s="98"/>
      <c r="K122" s="98" t="s">
        <v>580</v>
      </c>
      <c r="L122" s="98" t="s">
        <v>309</v>
      </c>
      <c r="M122" s="124" t="s">
        <v>578</v>
      </c>
      <c r="Z122" s="104"/>
      <c r="AA122" s="141"/>
    </row>
    <row r="123" spans="1:51" x14ac:dyDescent="0.2">
      <c r="A123" s="123"/>
      <c r="B123" s="98"/>
      <c r="C123" s="98">
        <f ca="1">$B$28</f>
        <v>103368.22575613341</v>
      </c>
      <c r="D123" s="98">
        <f>E3</f>
        <v>35352</v>
      </c>
      <c r="E123" s="124">
        <f>D123*5</f>
        <v>176760</v>
      </c>
      <c r="G123" s="125"/>
      <c r="H123" s="98"/>
      <c r="I123" s="98"/>
      <c r="J123" s="98"/>
      <c r="K123" s="98">
        <f ca="1">$D$28</f>
        <v>104791.15507199084</v>
      </c>
      <c r="L123" s="98">
        <v>35352</v>
      </c>
      <c r="M123" s="124">
        <v>176760</v>
      </c>
      <c r="Z123" s="104"/>
      <c r="AA123" s="136"/>
    </row>
    <row r="124" spans="1:51" x14ac:dyDescent="0.2">
      <c r="A124" s="123"/>
      <c r="B124" s="98"/>
      <c r="C124" s="98"/>
      <c r="D124" s="98"/>
      <c r="E124" s="124"/>
      <c r="G124" s="125"/>
      <c r="H124" s="98"/>
      <c r="I124" s="98"/>
      <c r="J124" s="98"/>
      <c r="K124" s="98"/>
      <c r="L124" s="98"/>
      <c r="M124" s="124"/>
      <c r="Z124" s="104"/>
      <c r="AA124" s="136"/>
    </row>
    <row r="125" spans="1:51" x14ac:dyDescent="0.2">
      <c r="A125" s="123"/>
      <c r="B125" s="98"/>
      <c r="C125" s="98"/>
      <c r="D125" s="98"/>
      <c r="E125" s="124"/>
      <c r="G125" s="125"/>
      <c r="H125" s="98"/>
      <c r="I125" s="98"/>
      <c r="J125" s="98"/>
      <c r="K125" s="98"/>
      <c r="L125" s="98"/>
      <c r="M125" s="124"/>
      <c r="Z125" s="104"/>
      <c r="AA125" s="136"/>
    </row>
    <row r="126" spans="1:51" x14ac:dyDescent="0.2">
      <c r="A126" s="123"/>
      <c r="B126" s="98"/>
      <c r="C126" s="98"/>
      <c r="D126" s="98"/>
      <c r="E126" s="124"/>
      <c r="G126" s="125"/>
      <c r="H126" s="98"/>
      <c r="I126" s="98"/>
      <c r="J126" s="98"/>
      <c r="K126" s="98"/>
      <c r="L126" s="98"/>
      <c r="M126" s="124"/>
      <c r="Z126" s="104"/>
      <c r="AA126" s="98"/>
    </row>
    <row r="127" spans="1:51" x14ac:dyDescent="0.2">
      <c r="A127" s="149" t="s">
        <v>316</v>
      </c>
      <c r="B127" s="127"/>
      <c r="C127" s="94" t="s">
        <v>79</v>
      </c>
      <c r="D127" s="94"/>
      <c r="E127" s="95" t="s">
        <v>577</v>
      </c>
      <c r="G127" s="125" t="s">
        <v>316</v>
      </c>
      <c r="H127" s="150"/>
      <c r="I127" s="127"/>
      <c r="J127" s="127"/>
      <c r="K127" s="94" t="s">
        <v>79</v>
      </c>
      <c r="L127" s="94"/>
      <c r="M127" s="95">
        <f>'ch soc'!M166</f>
        <v>0</v>
      </c>
      <c r="Z127" s="104"/>
      <c r="AA127" s="98"/>
    </row>
    <row r="128" spans="1:51" x14ac:dyDescent="0.2">
      <c r="A128" s="93"/>
      <c r="B128" s="94" t="s">
        <v>77</v>
      </c>
      <c r="C128" s="94">
        <f ca="1">IF(C123&lt;D123,C123,D123)</f>
        <v>35352</v>
      </c>
      <c r="D128" s="97">
        <f>$H$17</f>
        <v>6.0000000000000001E-3</v>
      </c>
      <c r="E128" s="95">
        <f ca="1">C128*D128</f>
        <v>212.11199999999999</v>
      </c>
      <c r="G128" s="125"/>
      <c r="H128" s="94" t="s">
        <v>77</v>
      </c>
      <c r="I128" s="94"/>
      <c r="J128" s="94">
        <f>'ch soc'!J167</f>
        <v>0</v>
      </c>
      <c r="K128" s="94">
        <f ca="1">IF(K123&lt;L123,K123,L123)</f>
        <v>35352</v>
      </c>
      <c r="L128" s="97">
        <f>$H$17</f>
        <v>6.0000000000000001E-3</v>
      </c>
      <c r="M128" s="95">
        <f ca="1">K128*L128</f>
        <v>212.11199999999999</v>
      </c>
      <c r="Z128" s="104"/>
      <c r="AA128" s="136"/>
    </row>
    <row r="129" spans="1:27" x14ac:dyDescent="0.2">
      <c r="A129" s="93"/>
      <c r="B129" s="94" t="s">
        <v>314</v>
      </c>
      <c r="C129" s="94">
        <f ca="1">IF(C123&lt;E123,C123,E123)</f>
        <v>103368.22575613341</v>
      </c>
      <c r="D129" s="97">
        <f>$H$18</f>
        <v>5.8999999999999997E-2</v>
      </c>
      <c r="E129" s="95">
        <f ca="1">C129*D129</f>
        <v>6098.7253196118709</v>
      </c>
      <c r="G129" s="125"/>
      <c r="H129" s="94" t="s">
        <v>314</v>
      </c>
      <c r="I129" s="94"/>
      <c r="J129" s="94" t="s">
        <v>314</v>
      </c>
      <c r="K129" s="94">
        <f ca="1">IF(K123&lt;M123,K123,M123)</f>
        <v>104791.15507199084</v>
      </c>
      <c r="L129" s="97">
        <f>$H$18</f>
        <v>5.8999999999999997E-2</v>
      </c>
      <c r="M129" s="95">
        <f ca="1">K129*L129</f>
        <v>6182.6781492474593</v>
      </c>
      <c r="Z129" s="104"/>
      <c r="AA129" s="136"/>
    </row>
    <row r="130" spans="1:27" x14ac:dyDescent="0.2">
      <c r="A130" s="123"/>
      <c r="B130" s="94"/>
      <c r="C130" s="98"/>
      <c r="D130" s="94" t="str">
        <f>'ch soc'!D171</f>
        <v>total</v>
      </c>
      <c r="E130" s="99">
        <f ca="1">SUM(E128:E129)</f>
        <v>6310.837319611871</v>
      </c>
      <c r="G130" s="125"/>
      <c r="H130" s="98"/>
      <c r="I130" s="94"/>
      <c r="J130" s="94"/>
      <c r="K130" s="98"/>
      <c r="L130" s="94">
        <f>'ch soc'!L169</f>
        <v>0</v>
      </c>
      <c r="M130" s="99">
        <f ca="1">SUM(M128:M129)</f>
        <v>6394.7901492474593</v>
      </c>
      <c r="Z130" s="104"/>
      <c r="AA130" s="136"/>
    </row>
    <row r="131" spans="1:27" x14ac:dyDescent="0.2">
      <c r="A131" s="123"/>
      <c r="B131" s="98"/>
      <c r="C131" s="98"/>
      <c r="D131" s="98"/>
      <c r="E131" s="124"/>
      <c r="G131" s="125"/>
      <c r="H131" s="98"/>
      <c r="I131" s="98"/>
      <c r="J131" s="98"/>
      <c r="K131" s="98"/>
      <c r="L131" s="98"/>
      <c r="M131" s="124"/>
      <c r="Z131" s="104"/>
      <c r="AA131" s="136"/>
    </row>
    <row r="132" spans="1:27" x14ac:dyDescent="0.2">
      <c r="A132" s="123"/>
      <c r="B132" s="98"/>
      <c r="C132" s="98"/>
      <c r="D132" s="98"/>
      <c r="E132" s="95"/>
      <c r="G132" s="125"/>
      <c r="H132" s="98"/>
      <c r="I132" s="98"/>
      <c r="J132" s="98"/>
      <c r="K132" s="98"/>
      <c r="L132" s="98"/>
      <c r="M132" s="95"/>
      <c r="Z132" s="104"/>
      <c r="AA132" s="136"/>
    </row>
    <row r="133" spans="1:27" x14ac:dyDescent="0.2">
      <c r="A133" s="123"/>
      <c r="B133" s="98"/>
      <c r="C133" s="98"/>
      <c r="D133" s="98"/>
      <c r="E133" s="124"/>
      <c r="G133" s="125"/>
      <c r="H133" s="98"/>
      <c r="I133" s="98"/>
      <c r="J133" s="98"/>
      <c r="K133" s="98"/>
      <c r="L133" s="98"/>
      <c r="M133" s="124"/>
      <c r="Z133" s="104"/>
      <c r="AA133" s="141"/>
    </row>
    <row r="134" spans="1:27" x14ac:dyDescent="0.2">
      <c r="A134" s="123" t="s">
        <v>44</v>
      </c>
      <c r="B134" s="98"/>
      <c r="C134" s="98"/>
      <c r="D134" s="126"/>
      <c r="E134" s="95">
        <f ca="1">+E130+E132</f>
        <v>6310.837319611871</v>
      </c>
      <c r="G134" s="125" t="s">
        <v>44</v>
      </c>
      <c r="H134" s="98"/>
      <c r="I134" s="98"/>
      <c r="J134" s="98"/>
      <c r="K134" s="98"/>
      <c r="L134" s="126"/>
      <c r="M134" s="95">
        <f ca="1">+M130+M132</f>
        <v>6394.7901492474593</v>
      </c>
      <c r="Z134" s="104"/>
      <c r="AA134" s="141"/>
    </row>
    <row r="135" spans="1:27" x14ac:dyDescent="0.2">
      <c r="A135" s="123"/>
      <c r="B135" s="98"/>
      <c r="C135" s="98"/>
      <c r="D135" s="126"/>
      <c r="E135" s="124"/>
      <c r="G135" s="125"/>
      <c r="H135" s="98"/>
      <c r="I135" s="98"/>
      <c r="J135" s="98"/>
      <c r="K135" s="98"/>
      <c r="L135" s="126"/>
      <c r="M135" s="124"/>
      <c r="Z135" s="104"/>
      <c r="AA135" s="136"/>
    </row>
    <row r="136" spans="1:27" x14ac:dyDescent="0.2">
      <c r="A136" s="123"/>
      <c r="B136" s="98"/>
      <c r="C136" s="98"/>
      <c r="D136" s="98"/>
      <c r="E136" s="124"/>
      <c r="G136" s="125"/>
      <c r="H136" s="98"/>
      <c r="I136" s="98"/>
      <c r="J136" s="98"/>
      <c r="K136" s="98"/>
      <c r="L136" s="98"/>
      <c r="M136" s="124"/>
      <c r="Z136" s="104"/>
      <c r="AA136" s="136"/>
    </row>
    <row r="137" spans="1:27" x14ac:dyDescent="0.2">
      <c r="A137" s="123" t="s">
        <v>315</v>
      </c>
      <c r="B137" s="98"/>
      <c r="C137" s="98"/>
      <c r="D137" s="126"/>
      <c r="E137" s="124"/>
      <c r="G137" s="125" t="s">
        <v>315</v>
      </c>
      <c r="H137" s="98"/>
      <c r="I137" s="98"/>
      <c r="J137" s="98"/>
      <c r="K137" s="98"/>
      <c r="L137" s="126"/>
      <c r="M137" s="124"/>
      <c r="Z137" s="104"/>
      <c r="AA137" s="136"/>
    </row>
    <row r="138" spans="1:27" x14ac:dyDescent="0.2">
      <c r="A138" s="123"/>
      <c r="B138" s="98"/>
      <c r="C138" s="98"/>
      <c r="D138" s="98"/>
      <c r="E138" s="124"/>
      <c r="G138" s="125"/>
      <c r="H138" s="98"/>
      <c r="I138" s="98"/>
      <c r="J138" s="98"/>
      <c r="K138" s="98"/>
      <c r="L138" s="98"/>
      <c r="M138" s="124"/>
      <c r="Z138" s="104"/>
      <c r="AA138" s="136"/>
    </row>
    <row r="139" spans="1:27" x14ac:dyDescent="0.2">
      <c r="A139" s="125" t="str">
        <f>'ch soc'!A200</f>
        <v>Base de calcul :</v>
      </c>
      <c r="B139" s="98"/>
      <c r="C139" s="29"/>
      <c r="D139" s="29"/>
      <c r="E139" s="129">
        <f ca="1">C129</f>
        <v>103368.22575613341</v>
      </c>
      <c r="G139" s="125" t="s">
        <v>136</v>
      </c>
      <c r="H139" s="29"/>
      <c r="I139" s="98"/>
      <c r="J139" s="98"/>
      <c r="K139" s="29"/>
      <c r="L139" s="29"/>
      <c r="M139" s="129">
        <f ca="1">K129</f>
        <v>104791.15507199084</v>
      </c>
      <c r="Z139" s="104"/>
      <c r="AA139" s="104"/>
    </row>
    <row r="140" spans="1:27" x14ac:dyDescent="0.2">
      <c r="A140" s="125"/>
      <c r="B140" s="98"/>
      <c r="C140" s="29"/>
      <c r="D140" s="29"/>
      <c r="E140" s="129">
        <f>simulateur!F269</f>
        <v>9800</v>
      </c>
      <c r="G140" s="125"/>
      <c r="H140" s="29"/>
      <c r="I140" s="98"/>
      <c r="J140" s="98"/>
      <c r="K140" s="29"/>
      <c r="L140" s="29"/>
      <c r="M140" s="129">
        <f>simulateur!F267+simulateur!L576-simulateur!F265*10%</f>
        <v>11181</v>
      </c>
      <c r="Z140" s="104"/>
      <c r="AA140" s="151"/>
    </row>
    <row r="141" spans="1:27" x14ac:dyDescent="0.2">
      <c r="A141" s="123" t="s">
        <v>126</v>
      </c>
      <c r="B141" s="152">
        <f>$H$19</f>
        <v>1.1000000000000001E-3</v>
      </c>
      <c r="C141" s="29"/>
      <c r="D141" s="29"/>
      <c r="E141" s="129">
        <f ca="1">(E139+E140)*B141</f>
        <v>124.48504833174675</v>
      </c>
      <c r="G141" s="125" t="s">
        <v>126</v>
      </c>
      <c r="H141" s="152"/>
      <c r="I141" s="152"/>
      <c r="J141" s="152">
        <f>$H$19</f>
        <v>1.1000000000000001E-3</v>
      </c>
      <c r="K141" s="29"/>
      <c r="L141" s="29"/>
      <c r="M141" s="129">
        <f ca="1">(M139+M140)*J141</f>
        <v>127.56937057918994</v>
      </c>
      <c r="Z141" s="104"/>
      <c r="AA141" s="136"/>
    </row>
    <row r="142" spans="1:27" x14ac:dyDescent="0.2">
      <c r="A142" s="125"/>
      <c r="B142" s="29"/>
      <c r="C142" s="153"/>
      <c r="D142" s="29"/>
      <c r="E142" s="129"/>
      <c r="G142" s="125"/>
      <c r="H142" s="29"/>
      <c r="I142" s="29"/>
      <c r="J142" s="29"/>
      <c r="K142" s="153"/>
      <c r="L142" s="29"/>
      <c r="M142" s="129"/>
      <c r="Z142" s="104"/>
      <c r="AA142" s="139"/>
    </row>
    <row r="143" spans="1:27" x14ac:dyDescent="0.2">
      <c r="A143" s="130" t="s">
        <v>579</v>
      </c>
      <c r="B143" s="131" t="s">
        <v>139</v>
      </c>
      <c r="C143" s="144"/>
      <c r="D143" s="144"/>
      <c r="E143" s="145"/>
      <c r="G143" s="143" t="s">
        <v>579</v>
      </c>
      <c r="H143" s="144" t="s">
        <v>139</v>
      </c>
      <c r="I143" s="144"/>
      <c r="J143" s="144">
        <f>'ch soc'!J202</f>
        <v>0</v>
      </c>
      <c r="K143" s="144"/>
      <c r="L143" s="144"/>
      <c r="M143" s="145"/>
      <c r="Z143" s="104"/>
      <c r="AA143" s="136"/>
    </row>
    <row r="144" spans="1:27" x14ac:dyDescent="0.2">
      <c r="A144" s="29"/>
      <c r="B144" s="29"/>
      <c r="C144" s="29"/>
      <c r="D144" s="29"/>
      <c r="E144" s="29"/>
      <c r="H144" s="29"/>
      <c r="I144" s="29"/>
      <c r="J144" s="29"/>
      <c r="K144" s="29"/>
      <c r="L144" s="29"/>
      <c r="Z144" s="104"/>
      <c r="AA144" s="136"/>
    </row>
    <row r="145" spans="1:27" x14ac:dyDescent="0.2">
      <c r="Z145" s="104"/>
      <c r="AA145" s="136"/>
    </row>
    <row r="146" spans="1:27" x14ac:dyDescent="0.2">
      <c r="Z146" s="104"/>
      <c r="AA146" s="136"/>
    </row>
    <row r="147" spans="1:27" x14ac:dyDescent="0.2">
      <c r="Z147" s="104"/>
      <c r="AA147" s="136"/>
    </row>
    <row r="148" spans="1:27" x14ac:dyDescent="0.2">
      <c r="Z148" s="104"/>
      <c r="AA148" s="136"/>
    </row>
    <row r="149" spans="1:27" x14ac:dyDescent="0.2">
      <c r="A149" s="28" t="s">
        <v>179</v>
      </c>
      <c r="Z149" s="104"/>
      <c r="AA149" s="136"/>
    </row>
    <row r="150" spans="1:27" x14ac:dyDescent="0.2">
      <c r="Z150" s="104"/>
      <c r="AA150" s="136"/>
    </row>
    <row r="151" spans="1:27" x14ac:dyDescent="0.2">
      <c r="Z151" s="104"/>
      <c r="AA151" s="136"/>
    </row>
    <row r="152" spans="1:27" x14ac:dyDescent="0.2">
      <c r="Z152" s="104"/>
      <c r="AA152" s="98"/>
    </row>
    <row r="153" spans="1:27" x14ac:dyDescent="0.2">
      <c r="Z153" s="105"/>
      <c r="AA153" s="105"/>
    </row>
    <row r="154" spans="1:27" x14ac:dyDescent="0.2">
      <c r="Z154" s="105"/>
      <c r="AA154" s="105"/>
    </row>
    <row r="155" spans="1:27" x14ac:dyDescent="0.2">
      <c r="F155" s="105"/>
      <c r="G155" s="105"/>
      <c r="H155" s="105"/>
      <c r="I155" s="105"/>
      <c r="J155" s="105"/>
      <c r="K155" s="105"/>
      <c r="L155" s="105"/>
      <c r="M155" s="105"/>
      <c r="N155" s="105"/>
      <c r="O155" s="105"/>
      <c r="P155" s="105"/>
      <c r="Q155" s="105"/>
      <c r="R155" s="105"/>
      <c r="S155" s="105"/>
      <c r="T155" s="105"/>
      <c r="U155" s="105"/>
      <c r="V155" s="105"/>
      <c r="W155" s="105"/>
      <c r="X155" s="105"/>
      <c r="Y155" s="105"/>
      <c r="Z155" s="105"/>
      <c r="AA155" s="105"/>
    </row>
    <row r="156" spans="1:27" x14ac:dyDescent="0.2">
      <c r="F156" s="105"/>
      <c r="G156" s="105"/>
      <c r="H156" s="105"/>
      <c r="I156" s="105"/>
      <c r="J156" s="105"/>
      <c r="K156" s="105"/>
      <c r="L156" s="105"/>
      <c r="M156" s="105"/>
      <c r="N156" s="105"/>
      <c r="O156" s="105"/>
      <c r="P156" s="105"/>
      <c r="Q156" s="105"/>
      <c r="R156" s="105"/>
      <c r="S156" s="105"/>
      <c r="T156" s="105"/>
      <c r="U156" s="105"/>
      <c r="V156" s="105"/>
      <c r="W156" s="105"/>
      <c r="X156" s="105"/>
      <c r="Y156" s="105"/>
      <c r="Z156" s="105"/>
      <c r="AA156" s="105"/>
    </row>
    <row r="157" spans="1:27" x14ac:dyDescent="0.2">
      <c r="F157" s="105"/>
      <c r="G157" s="105"/>
      <c r="H157" s="105"/>
      <c r="I157" s="105"/>
      <c r="J157" s="105"/>
      <c r="K157" s="105"/>
      <c r="L157" s="105"/>
      <c r="M157" s="105"/>
      <c r="N157" s="105"/>
      <c r="O157" s="105"/>
      <c r="P157" s="105"/>
      <c r="Q157" s="105"/>
      <c r="R157" s="105"/>
      <c r="S157" s="105"/>
      <c r="T157" s="105"/>
      <c r="U157" s="105"/>
      <c r="V157" s="105"/>
      <c r="W157" s="105"/>
      <c r="X157" s="105"/>
      <c r="Y157" s="105"/>
      <c r="Z157" s="105"/>
      <c r="AA157" s="105"/>
    </row>
    <row r="158" spans="1:27" x14ac:dyDescent="0.2">
      <c r="F158" s="105"/>
      <c r="G158" s="105"/>
      <c r="H158" s="105"/>
      <c r="I158" s="105"/>
      <c r="J158" s="105"/>
      <c r="K158" s="105"/>
      <c r="L158" s="105"/>
      <c r="M158" s="105"/>
      <c r="N158" s="105"/>
      <c r="O158" s="105"/>
      <c r="P158" s="105"/>
      <c r="Q158" s="105"/>
      <c r="R158" s="105"/>
      <c r="S158" s="105"/>
      <c r="T158" s="105"/>
      <c r="U158" s="105"/>
      <c r="V158" s="105"/>
      <c r="W158" s="105"/>
      <c r="X158" s="105"/>
      <c r="Y158" s="105"/>
      <c r="Z158" s="105"/>
      <c r="AA158" s="105"/>
    </row>
    <row r="159" spans="1:27" x14ac:dyDescent="0.2">
      <c r="F159" s="105"/>
      <c r="G159" s="105"/>
      <c r="H159" s="105"/>
      <c r="I159" s="105"/>
      <c r="J159" s="105"/>
      <c r="K159" s="105"/>
      <c r="L159" s="105"/>
      <c r="M159" s="105"/>
      <c r="N159" s="105"/>
      <c r="O159" s="105"/>
      <c r="P159" s="105"/>
      <c r="Q159" s="105"/>
      <c r="R159" s="105"/>
      <c r="S159" s="105"/>
      <c r="T159" s="105"/>
      <c r="U159" s="105"/>
      <c r="V159" s="105"/>
      <c r="W159" s="105"/>
      <c r="X159" s="105"/>
      <c r="Y159" s="105"/>
      <c r="Z159" s="105"/>
      <c r="AA159" s="105"/>
    </row>
    <row r="160" spans="1:27" x14ac:dyDescent="0.2">
      <c r="F160" s="105"/>
      <c r="G160" s="105"/>
      <c r="H160" s="105"/>
      <c r="I160" s="105"/>
      <c r="J160" s="105"/>
      <c r="K160" s="105"/>
      <c r="L160" s="105"/>
      <c r="M160" s="105"/>
      <c r="N160" s="105"/>
      <c r="O160" s="105"/>
      <c r="P160" s="105"/>
      <c r="Q160" s="105"/>
      <c r="R160" s="105"/>
      <c r="S160" s="105"/>
      <c r="T160" s="105"/>
      <c r="U160" s="105"/>
      <c r="V160" s="105"/>
      <c r="W160" s="105"/>
      <c r="X160" s="105"/>
      <c r="Y160" s="105"/>
      <c r="Z160" s="105"/>
      <c r="AA160" s="105"/>
    </row>
    <row r="161" spans="6:27" x14ac:dyDescent="0.2">
      <c r="F161" s="105"/>
      <c r="G161" s="105"/>
      <c r="H161" s="105"/>
      <c r="I161" s="105"/>
      <c r="J161" s="105"/>
      <c r="K161" s="105"/>
      <c r="L161" s="105"/>
      <c r="M161" s="105"/>
      <c r="N161" s="105"/>
      <c r="O161" s="105"/>
      <c r="P161" s="105"/>
      <c r="Q161" s="105"/>
      <c r="R161" s="105"/>
      <c r="S161" s="105"/>
      <c r="T161" s="105"/>
      <c r="U161" s="105"/>
      <c r="V161" s="105"/>
      <c r="W161" s="105"/>
      <c r="X161" s="105"/>
      <c r="Y161" s="105"/>
      <c r="Z161" s="105"/>
      <c r="AA161" s="105"/>
    </row>
    <row r="162" spans="6:27" x14ac:dyDescent="0.2">
      <c r="F162" s="105"/>
      <c r="G162" s="105"/>
      <c r="H162" s="105"/>
      <c r="I162" s="105"/>
      <c r="J162" s="105"/>
      <c r="K162" s="105"/>
      <c r="L162" s="105"/>
      <c r="M162" s="105"/>
      <c r="N162" s="105"/>
      <c r="O162" s="105"/>
      <c r="P162" s="105"/>
      <c r="Q162" s="105"/>
      <c r="R162" s="105"/>
      <c r="S162" s="105"/>
      <c r="T162" s="105"/>
      <c r="U162" s="105"/>
      <c r="V162" s="105"/>
      <c r="W162" s="105"/>
      <c r="X162" s="105"/>
      <c r="Y162" s="105"/>
      <c r="Z162" s="105"/>
      <c r="AA162" s="105"/>
    </row>
    <row r="163" spans="6:27" x14ac:dyDescent="0.2">
      <c r="F163" s="105"/>
      <c r="G163" s="105"/>
      <c r="H163" s="105"/>
      <c r="I163" s="105"/>
      <c r="J163" s="105"/>
      <c r="K163" s="105"/>
      <c r="L163" s="105"/>
      <c r="M163" s="105"/>
      <c r="N163" s="105"/>
      <c r="O163" s="105"/>
      <c r="P163" s="105"/>
      <c r="Q163" s="105"/>
      <c r="R163" s="105"/>
      <c r="S163" s="105"/>
      <c r="T163" s="105"/>
      <c r="U163" s="105"/>
      <c r="V163" s="105"/>
      <c r="W163" s="105"/>
      <c r="X163" s="105"/>
      <c r="Y163" s="105"/>
      <c r="Z163" s="105"/>
      <c r="AA163" s="105"/>
    </row>
    <row r="164" spans="6:27" x14ac:dyDescent="0.2">
      <c r="F164" s="105"/>
      <c r="G164" s="105"/>
      <c r="H164" s="105"/>
      <c r="I164" s="105"/>
      <c r="J164" s="105"/>
      <c r="K164" s="105"/>
      <c r="L164" s="105"/>
      <c r="M164" s="105"/>
      <c r="N164" s="105"/>
      <c r="O164" s="105"/>
      <c r="P164" s="105"/>
      <c r="Q164" s="105"/>
      <c r="R164" s="105"/>
      <c r="S164" s="105"/>
      <c r="T164" s="105"/>
      <c r="U164" s="105"/>
      <c r="V164" s="105"/>
      <c r="W164" s="105"/>
      <c r="X164" s="105"/>
      <c r="Y164" s="105"/>
      <c r="Z164" s="105"/>
      <c r="AA164" s="105"/>
    </row>
    <row r="165" spans="6:27" x14ac:dyDescent="0.2">
      <c r="F165" s="105"/>
      <c r="G165" s="105"/>
      <c r="H165" s="105"/>
      <c r="I165" s="105"/>
      <c r="J165" s="105"/>
      <c r="K165" s="105"/>
      <c r="L165" s="105"/>
      <c r="M165" s="105"/>
      <c r="N165" s="105"/>
      <c r="O165" s="105"/>
      <c r="P165" s="105"/>
      <c r="Q165" s="105"/>
      <c r="R165" s="105"/>
      <c r="S165" s="105"/>
      <c r="T165" s="105"/>
      <c r="U165" s="105"/>
      <c r="V165" s="105"/>
      <c r="W165" s="105"/>
      <c r="X165" s="105"/>
      <c r="Y165" s="105"/>
      <c r="Z165" s="105"/>
      <c r="AA165" s="105"/>
    </row>
    <row r="166" spans="6:27" x14ac:dyDescent="0.2">
      <c r="F166" s="105"/>
      <c r="G166" s="105"/>
      <c r="H166" s="105"/>
      <c r="I166" s="105"/>
      <c r="J166" s="105"/>
      <c r="K166" s="105"/>
      <c r="L166" s="105"/>
      <c r="M166" s="105"/>
      <c r="N166" s="105"/>
      <c r="O166" s="105"/>
      <c r="P166" s="105"/>
      <c r="Q166" s="105"/>
      <c r="R166" s="105"/>
      <c r="S166" s="105"/>
      <c r="T166" s="105"/>
      <c r="U166" s="105"/>
      <c r="V166" s="105"/>
      <c r="W166" s="105"/>
      <c r="X166" s="105"/>
      <c r="Y166" s="105"/>
      <c r="Z166" s="105"/>
      <c r="AA166" s="105"/>
    </row>
    <row r="167" spans="6:27" x14ac:dyDescent="0.2">
      <c r="F167" s="105"/>
      <c r="G167" s="105"/>
      <c r="H167" s="105"/>
      <c r="I167" s="105"/>
      <c r="J167" s="105"/>
      <c r="K167" s="105"/>
      <c r="L167" s="105"/>
      <c r="M167" s="105"/>
      <c r="N167" s="105"/>
      <c r="O167" s="105"/>
      <c r="P167" s="105"/>
      <c r="Q167" s="105"/>
      <c r="R167" s="105"/>
      <c r="S167" s="105"/>
      <c r="T167" s="105"/>
      <c r="U167" s="105"/>
      <c r="V167" s="105"/>
      <c r="W167" s="105"/>
      <c r="X167" s="105"/>
      <c r="Y167" s="105"/>
      <c r="Z167" s="105"/>
      <c r="AA167" s="105"/>
    </row>
    <row r="168" spans="6:27" x14ac:dyDescent="0.2">
      <c r="F168" s="105"/>
      <c r="G168" s="105"/>
      <c r="H168" s="105"/>
      <c r="I168" s="105"/>
      <c r="J168" s="105"/>
      <c r="K168" s="105"/>
      <c r="L168" s="105"/>
      <c r="M168" s="105"/>
      <c r="N168" s="105"/>
      <c r="O168" s="105"/>
      <c r="P168" s="105"/>
      <c r="Q168" s="105"/>
      <c r="R168" s="105"/>
      <c r="S168" s="105"/>
      <c r="T168" s="105"/>
      <c r="U168" s="105"/>
      <c r="V168" s="105"/>
      <c r="W168" s="105"/>
      <c r="X168" s="105"/>
      <c r="Y168" s="105"/>
      <c r="Z168" s="105"/>
      <c r="AA168" s="105"/>
    </row>
    <row r="169" spans="6:27" x14ac:dyDescent="0.2">
      <c r="F169" s="105"/>
      <c r="G169" s="105"/>
      <c r="H169" s="105"/>
      <c r="I169" s="105"/>
      <c r="J169" s="105"/>
      <c r="K169" s="105"/>
      <c r="L169" s="105"/>
      <c r="M169" s="105"/>
      <c r="N169" s="105"/>
      <c r="O169" s="105"/>
      <c r="P169" s="105"/>
      <c r="Q169" s="105"/>
      <c r="R169" s="105"/>
      <c r="S169" s="105"/>
      <c r="T169" s="105"/>
      <c r="U169" s="105"/>
      <c r="V169" s="105"/>
      <c r="W169" s="105"/>
      <c r="X169" s="105"/>
      <c r="Y169" s="105"/>
      <c r="Z169" s="105"/>
      <c r="AA169" s="105"/>
    </row>
    <row r="170" spans="6:27" x14ac:dyDescent="0.2">
      <c r="F170" s="105"/>
      <c r="G170" s="105"/>
      <c r="H170" s="105"/>
      <c r="I170" s="105"/>
      <c r="J170" s="105"/>
      <c r="K170" s="105"/>
      <c r="L170" s="105"/>
      <c r="M170" s="105"/>
      <c r="N170" s="105"/>
      <c r="O170" s="105"/>
      <c r="P170" s="105"/>
      <c r="Q170" s="105"/>
      <c r="R170" s="105"/>
      <c r="S170" s="105"/>
      <c r="T170" s="105"/>
      <c r="U170" s="105"/>
      <c r="V170" s="105"/>
      <c r="W170" s="105"/>
      <c r="X170" s="105"/>
      <c r="Y170" s="105"/>
      <c r="Z170" s="105"/>
      <c r="AA170" s="105"/>
    </row>
    <row r="171" spans="6:27" x14ac:dyDescent="0.2">
      <c r="F171" s="105"/>
      <c r="G171" s="105"/>
      <c r="H171" s="105"/>
      <c r="I171" s="105"/>
      <c r="J171" s="105"/>
      <c r="K171" s="105"/>
      <c r="L171" s="105"/>
      <c r="M171" s="105"/>
      <c r="N171" s="105"/>
      <c r="O171" s="105"/>
      <c r="P171" s="105"/>
      <c r="Q171" s="105"/>
      <c r="R171" s="105"/>
      <c r="S171" s="105"/>
      <c r="T171" s="105"/>
      <c r="U171" s="105"/>
      <c r="V171" s="105"/>
      <c r="W171" s="105"/>
      <c r="X171" s="105"/>
      <c r="Y171" s="105"/>
      <c r="Z171" s="105"/>
      <c r="AA171" s="105"/>
    </row>
    <row r="172" spans="6:27" x14ac:dyDescent="0.2">
      <c r="F172" s="105"/>
      <c r="G172" s="105"/>
      <c r="H172" s="105"/>
      <c r="I172" s="105"/>
      <c r="J172" s="105"/>
      <c r="K172" s="105"/>
      <c r="L172" s="105"/>
      <c r="M172" s="105"/>
      <c r="N172" s="105"/>
      <c r="O172" s="105"/>
      <c r="P172" s="105"/>
      <c r="Q172" s="105"/>
      <c r="R172" s="105"/>
      <c r="S172" s="105"/>
      <c r="T172" s="105"/>
      <c r="U172" s="105"/>
      <c r="V172" s="105"/>
      <c r="W172" s="105"/>
      <c r="X172" s="105"/>
      <c r="Y172" s="105"/>
      <c r="Z172" s="105"/>
      <c r="AA172" s="105"/>
    </row>
    <row r="173" spans="6:27" x14ac:dyDescent="0.2">
      <c r="F173" s="105"/>
      <c r="G173" s="105"/>
      <c r="H173" s="105"/>
      <c r="I173" s="105"/>
      <c r="J173" s="105"/>
      <c r="K173" s="105"/>
      <c r="L173" s="105"/>
      <c r="M173" s="105"/>
      <c r="N173" s="105"/>
      <c r="O173" s="105"/>
      <c r="P173" s="105"/>
      <c r="Q173" s="105"/>
      <c r="R173" s="105"/>
      <c r="S173" s="105"/>
      <c r="T173" s="105"/>
      <c r="U173" s="105"/>
      <c r="V173" s="105"/>
      <c r="W173" s="105"/>
      <c r="X173" s="105"/>
      <c r="Y173" s="105"/>
      <c r="Z173" s="105"/>
      <c r="AA173" s="105"/>
    </row>
    <row r="174" spans="6:27" x14ac:dyDescent="0.2">
      <c r="F174" s="105"/>
      <c r="G174" s="105"/>
      <c r="H174" s="105"/>
      <c r="I174" s="105"/>
      <c r="J174" s="105"/>
      <c r="K174" s="105"/>
      <c r="L174" s="105"/>
      <c r="M174" s="105"/>
      <c r="N174" s="105"/>
      <c r="O174" s="105"/>
      <c r="P174" s="105"/>
      <c r="Q174" s="105"/>
      <c r="R174" s="105"/>
      <c r="S174" s="105"/>
      <c r="T174" s="105"/>
      <c r="U174" s="105"/>
      <c r="V174" s="105"/>
      <c r="W174" s="105"/>
      <c r="X174" s="105"/>
      <c r="Y174" s="105"/>
      <c r="Z174" s="105"/>
      <c r="AA174" s="105"/>
    </row>
    <row r="175" spans="6:27" x14ac:dyDescent="0.2">
      <c r="F175" s="105"/>
      <c r="G175" s="105"/>
      <c r="H175" s="105"/>
      <c r="I175" s="105"/>
      <c r="J175" s="105"/>
      <c r="K175" s="105"/>
      <c r="L175" s="105"/>
      <c r="M175" s="105"/>
      <c r="N175" s="105"/>
      <c r="O175" s="105"/>
      <c r="P175" s="105"/>
      <c r="Q175" s="105"/>
      <c r="R175" s="105"/>
      <c r="S175" s="105"/>
      <c r="T175" s="105"/>
      <c r="U175" s="105"/>
      <c r="V175" s="105"/>
      <c r="W175" s="105"/>
      <c r="X175" s="105"/>
      <c r="Y175" s="105"/>
      <c r="Z175" s="105"/>
      <c r="AA175" s="105"/>
    </row>
    <row r="176" spans="6:27" x14ac:dyDescent="0.2">
      <c r="F176" s="105"/>
      <c r="G176" s="105"/>
      <c r="H176" s="105"/>
      <c r="I176" s="105"/>
      <c r="J176" s="105"/>
      <c r="K176" s="105"/>
      <c r="L176" s="105"/>
      <c r="M176" s="105"/>
      <c r="N176" s="105"/>
      <c r="O176" s="105"/>
      <c r="P176" s="105"/>
      <c r="Q176" s="105"/>
      <c r="R176" s="105"/>
      <c r="S176" s="105"/>
      <c r="T176" s="105"/>
      <c r="U176" s="105"/>
      <c r="V176" s="105"/>
      <c r="W176" s="105"/>
      <c r="X176" s="105"/>
      <c r="Y176" s="105"/>
      <c r="Z176" s="105"/>
      <c r="AA176" s="105"/>
    </row>
    <row r="177" spans="1:27" x14ac:dyDescent="0.2">
      <c r="F177" s="105"/>
      <c r="G177" s="105"/>
      <c r="H177" s="105"/>
      <c r="I177" s="105"/>
      <c r="J177" s="105"/>
      <c r="K177" s="105"/>
      <c r="L177" s="105"/>
      <c r="M177" s="105"/>
      <c r="N177" s="105"/>
      <c r="O177" s="105"/>
      <c r="P177" s="105"/>
      <c r="Q177" s="105"/>
      <c r="R177" s="105"/>
      <c r="S177" s="105"/>
      <c r="T177" s="105"/>
      <c r="U177" s="105"/>
      <c r="V177" s="105"/>
      <c r="W177" s="105"/>
      <c r="X177" s="105"/>
      <c r="Y177" s="105"/>
      <c r="Z177" s="105"/>
      <c r="AA177" s="105"/>
    </row>
    <row r="178" spans="1:27" x14ac:dyDescent="0.2">
      <c r="F178" s="105"/>
      <c r="G178" s="105"/>
      <c r="H178" s="105"/>
      <c r="I178" s="105"/>
      <c r="J178" s="105"/>
      <c r="K178" s="105"/>
      <c r="L178" s="105"/>
      <c r="M178" s="105"/>
      <c r="N178" s="105"/>
      <c r="O178" s="105"/>
      <c r="P178" s="105"/>
      <c r="Q178" s="105"/>
      <c r="R178" s="105"/>
      <c r="S178" s="105"/>
      <c r="T178" s="105"/>
      <c r="U178" s="105"/>
      <c r="V178" s="105"/>
      <c r="W178" s="105"/>
      <c r="X178" s="105"/>
      <c r="Y178" s="105"/>
      <c r="Z178" s="105"/>
      <c r="AA178" s="105"/>
    </row>
    <row r="179" spans="1:27" x14ac:dyDescent="0.2">
      <c r="F179" s="105"/>
      <c r="G179" s="105"/>
      <c r="H179" s="105"/>
      <c r="I179" s="105"/>
      <c r="J179" s="105"/>
      <c r="K179" s="105"/>
      <c r="L179" s="105"/>
      <c r="M179" s="105"/>
      <c r="N179" s="105"/>
      <c r="O179" s="105"/>
      <c r="P179" s="105"/>
      <c r="Q179" s="105"/>
      <c r="R179" s="105"/>
      <c r="S179" s="105"/>
      <c r="T179" s="105"/>
      <c r="U179" s="105"/>
      <c r="V179" s="105"/>
      <c r="W179" s="105"/>
      <c r="X179" s="105"/>
      <c r="Y179" s="105"/>
      <c r="Z179" s="105"/>
      <c r="AA179" s="105"/>
    </row>
    <row r="180" spans="1:27" x14ac:dyDescent="0.2">
      <c r="F180" s="105"/>
      <c r="G180" s="105"/>
      <c r="H180" s="105"/>
      <c r="I180" s="105"/>
      <c r="J180" s="105"/>
      <c r="K180" s="105"/>
      <c r="L180" s="105"/>
      <c r="M180" s="105"/>
      <c r="N180" s="105"/>
      <c r="O180" s="105"/>
      <c r="P180" s="105"/>
      <c r="Q180" s="105"/>
      <c r="R180" s="105"/>
      <c r="S180" s="105"/>
      <c r="T180" s="105"/>
      <c r="U180" s="105"/>
      <c r="V180" s="105"/>
      <c r="W180" s="105"/>
      <c r="X180" s="105"/>
      <c r="Y180" s="105"/>
      <c r="Z180" s="105"/>
      <c r="AA180" s="105"/>
    </row>
    <row r="181" spans="1:27" x14ac:dyDescent="0.2">
      <c r="F181" s="105"/>
      <c r="G181" s="105"/>
      <c r="H181" s="105"/>
      <c r="I181" s="105"/>
      <c r="J181" s="105"/>
      <c r="K181" s="105"/>
      <c r="L181" s="105"/>
      <c r="M181" s="105"/>
      <c r="N181" s="105"/>
      <c r="O181" s="105"/>
      <c r="P181" s="105"/>
      <c r="Q181" s="105"/>
      <c r="R181" s="105"/>
      <c r="S181" s="105"/>
      <c r="T181" s="105"/>
      <c r="U181" s="105"/>
      <c r="V181" s="105"/>
      <c r="W181" s="105"/>
      <c r="X181" s="105"/>
      <c r="Y181" s="105"/>
      <c r="Z181" s="105"/>
      <c r="AA181" s="105"/>
    </row>
    <row r="182" spans="1:27" x14ac:dyDescent="0.2">
      <c r="F182" s="105"/>
      <c r="G182" s="105"/>
      <c r="H182" s="105"/>
      <c r="I182" s="105"/>
      <c r="J182" s="105"/>
      <c r="K182" s="105"/>
      <c r="L182" s="105"/>
      <c r="M182" s="105"/>
      <c r="N182" s="105"/>
      <c r="O182" s="105"/>
      <c r="P182" s="105"/>
      <c r="Q182" s="105"/>
      <c r="R182" s="105"/>
      <c r="S182" s="105"/>
      <c r="T182" s="105"/>
      <c r="U182" s="105"/>
      <c r="V182" s="105"/>
      <c r="W182" s="105"/>
      <c r="X182" s="105"/>
      <c r="Y182" s="105"/>
      <c r="Z182" s="105"/>
      <c r="AA182" s="105"/>
    </row>
    <row r="183" spans="1:27" x14ac:dyDescent="0.2">
      <c r="F183" s="105"/>
      <c r="G183" s="105"/>
      <c r="H183" s="105"/>
      <c r="I183" s="105"/>
      <c r="J183" s="105"/>
      <c r="K183" s="105"/>
      <c r="L183" s="105"/>
      <c r="M183" s="105"/>
      <c r="N183" s="105"/>
      <c r="O183" s="105"/>
      <c r="P183" s="105"/>
      <c r="Q183" s="105"/>
      <c r="R183" s="105"/>
      <c r="S183" s="105"/>
      <c r="T183" s="105"/>
      <c r="U183" s="105"/>
      <c r="V183" s="105"/>
      <c r="W183" s="105"/>
      <c r="X183" s="105"/>
      <c r="Y183" s="105"/>
      <c r="Z183" s="105"/>
      <c r="AA183" s="105"/>
    </row>
    <row r="184" spans="1:27" x14ac:dyDescent="0.2">
      <c r="A184" s="123"/>
      <c r="B184" s="98"/>
      <c r="C184" s="98"/>
      <c r="D184" s="126"/>
      <c r="E184" s="98"/>
      <c r="F184" s="105"/>
      <c r="G184" s="105"/>
      <c r="H184" s="105"/>
      <c r="I184" s="105"/>
      <c r="J184" s="105"/>
      <c r="K184" s="105"/>
      <c r="L184" s="105"/>
      <c r="M184" s="105"/>
      <c r="N184" s="105"/>
      <c r="O184" s="105"/>
      <c r="P184" s="105"/>
      <c r="Q184" s="105"/>
      <c r="R184" s="105"/>
      <c r="S184" s="105"/>
      <c r="T184" s="105"/>
      <c r="U184" s="105"/>
      <c r="V184" s="105"/>
      <c r="W184" s="105"/>
      <c r="X184" s="105"/>
      <c r="Y184" s="105"/>
      <c r="Z184" s="105"/>
      <c r="AA184" s="105"/>
    </row>
    <row r="185" spans="1:27" x14ac:dyDescent="0.2">
      <c r="A185" s="123"/>
      <c r="B185" s="98"/>
      <c r="C185" s="98"/>
      <c r="D185" s="98"/>
      <c r="E185" s="98"/>
      <c r="F185" s="105"/>
      <c r="G185" s="105"/>
      <c r="H185" s="105"/>
      <c r="I185" s="105"/>
      <c r="J185" s="105"/>
      <c r="K185" s="105"/>
      <c r="L185" s="105"/>
      <c r="M185" s="105"/>
      <c r="N185" s="105"/>
      <c r="O185" s="105"/>
      <c r="P185" s="105"/>
      <c r="Q185" s="105"/>
      <c r="R185" s="105"/>
      <c r="S185" s="105"/>
      <c r="T185" s="105"/>
      <c r="U185" s="105"/>
      <c r="V185" s="105"/>
      <c r="W185" s="105"/>
      <c r="X185" s="105"/>
      <c r="Y185" s="105"/>
      <c r="Z185" s="105"/>
      <c r="AA185" s="105"/>
    </row>
    <row r="186" spans="1:27" x14ac:dyDescent="0.2">
      <c r="A186" s="123"/>
      <c r="B186" s="98"/>
      <c r="C186" s="98"/>
      <c r="D186" s="98"/>
      <c r="E186" s="98"/>
      <c r="F186" s="105"/>
      <c r="G186" s="105"/>
      <c r="H186" s="105"/>
      <c r="I186" s="105"/>
      <c r="J186" s="105"/>
      <c r="K186" s="105"/>
      <c r="L186" s="105"/>
      <c r="M186" s="105"/>
      <c r="N186" s="105"/>
      <c r="O186" s="105"/>
      <c r="P186" s="105"/>
      <c r="Q186" s="105"/>
      <c r="R186" s="105"/>
      <c r="S186" s="105"/>
      <c r="T186" s="105"/>
      <c r="U186" s="105"/>
      <c r="V186" s="105"/>
      <c r="W186" s="105"/>
      <c r="X186" s="105"/>
      <c r="Y186" s="105"/>
      <c r="Z186" s="105"/>
      <c r="AA186" s="105"/>
    </row>
    <row r="187" spans="1:27" x14ac:dyDescent="0.2">
      <c r="A187" s="123"/>
      <c r="B187" s="98"/>
      <c r="C187" s="98"/>
      <c r="D187" s="98"/>
      <c r="E187" s="98"/>
      <c r="F187" s="105"/>
      <c r="G187" s="105"/>
      <c r="H187" s="105"/>
      <c r="I187" s="105"/>
      <c r="J187" s="105"/>
      <c r="K187" s="105"/>
      <c r="L187" s="105"/>
      <c r="M187" s="105"/>
      <c r="N187" s="105"/>
      <c r="O187" s="105"/>
      <c r="P187" s="105"/>
      <c r="Q187" s="105"/>
      <c r="R187" s="105"/>
      <c r="S187" s="105"/>
      <c r="T187" s="105"/>
      <c r="U187" s="105"/>
      <c r="V187" s="105"/>
      <c r="W187" s="105"/>
      <c r="X187" s="105"/>
      <c r="Y187" s="105"/>
      <c r="Z187" s="105"/>
      <c r="AA187" s="105"/>
    </row>
    <row r="188" spans="1:27" x14ac:dyDescent="0.2">
      <c r="A188" s="123"/>
      <c r="B188" s="98"/>
      <c r="C188" s="98"/>
      <c r="D188" s="98"/>
      <c r="E188" s="98"/>
      <c r="F188" s="105"/>
      <c r="G188" s="105"/>
      <c r="H188" s="105"/>
      <c r="I188" s="105"/>
      <c r="J188" s="105"/>
      <c r="K188" s="105"/>
      <c r="L188" s="105"/>
      <c r="M188" s="105"/>
      <c r="N188" s="105"/>
      <c r="O188" s="105"/>
      <c r="P188" s="105"/>
      <c r="Q188" s="105"/>
      <c r="R188" s="105"/>
      <c r="S188" s="105"/>
      <c r="T188" s="105"/>
      <c r="U188" s="105"/>
      <c r="V188" s="105"/>
      <c r="W188" s="105"/>
      <c r="X188" s="105"/>
      <c r="Y188" s="105"/>
      <c r="Z188" s="105"/>
      <c r="AA188" s="105"/>
    </row>
    <row r="189" spans="1:27" x14ac:dyDescent="0.2">
      <c r="A189" s="123"/>
      <c r="B189" s="98"/>
      <c r="C189" s="98"/>
      <c r="D189" s="98"/>
      <c r="E189" s="98"/>
      <c r="F189" s="105"/>
      <c r="G189" s="105"/>
      <c r="H189" s="105"/>
      <c r="I189" s="105"/>
      <c r="J189" s="105"/>
      <c r="K189" s="105"/>
      <c r="L189" s="105"/>
      <c r="M189" s="105"/>
      <c r="N189" s="105"/>
      <c r="O189" s="105"/>
      <c r="P189" s="105"/>
      <c r="Q189" s="105"/>
      <c r="R189" s="105"/>
      <c r="S189" s="105"/>
      <c r="T189" s="105"/>
      <c r="U189" s="105"/>
      <c r="V189" s="105"/>
      <c r="W189" s="105"/>
      <c r="X189" s="105"/>
      <c r="Y189" s="105"/>
      <c r="Z189" s="105"/>
      <c r="AA189" s="105"/>
    </row>
    <row r="190" spans="1:27" x14ac:dyDescent="0.2">
      <c r="A190" s="123"/>
      <c r="B190" s="98"/>
      <c r="C190" s="98"/>
      <c r="D190" s="98"/>
      <c r="E190" s="29"/>
      <c r="F190" s="105"/>
      <c r="G190" s="105"/>
      <c r="H190" s="105"/>
      <c r="I190" s="105"/>
      <c r="J190" s="105"/>
      <c r="K190" s="105"/>
      <c r="L190" s="105"/>
      <c r="M190" s="105"/>
      <c r="N190" s="105"/>
      <c r="O190" s="105"/>
      <c r="P190" s="105"/>
      <c r="Q190" s="105"/>
      <c r="R190" s="105"/>
      <c r="S190" s="105"/>
      <c r="T190" s="105"/>
      <c r="U190" s="105"/>
      <c r="V190" s="105"/>
      <c r="W190" s="105"/>
      <c r="X190" s="105"/>
      <c r="Y190" s="105"/>
      <c r="Z190" s="105"/>
      <c r="AA190" s="105"/>
    </row>
    <row r="191" spans="1:27" x14ac:dyDescent="0.2">
      <c r="A191" s="123"/>
      <c r="B191" s="98"/>
      <c r="C191" s="98"/>
      <c r="D191" s="98"/>
      <c r="E191" s="98"/>
      <c r="F191" s="105"/>
      <c r="G191" s="105"/>
      <c r="H191" s="105"/>
      <c r="I191" s="105"/>
      <c r="J191" s="105"/>
      <c r="K191" s="105"/>
      <c r="L191" s="105"/>
      <c r="M191" s="105"/>
      <c r="N191" s="105"/>
      <c r="O191" s="105"/>
      <c r="P191" s="105"/>
      <c r="Q191" s="105"/>
      <c r="R191" s="105"/>
      <c r="S191" s="105"/>
      <c r="T191" s="105"/>
      <c r="U191" s="105"/>
      <c r="V191" s="105"/>
      <c r="W191" s="105"/>
      <c r="X191" s="105"/>
      <c r="Y191" s="105"/>
      <c r="Z191" s="105"/>
      <c r="AA191" s="105"/>
    </row>
    <row r="192" spans="1:27" x14ac:dyDescent="0.2">
      <c r="A192" s="123"/>
      <c r="B192" s="98"/>
      <c r="C192" s="98"/>
      <c r="D192" s="126"/>
      <c r="E192" s="98"/>
      <c r="F192" s="105"/>
      <c r="G192" s="105"/>
      <c r="H192" s="105"/>
      <c r="I192" s="105"/>
      <c r="J192" s="105"/>
      <c r="K192" s="105"/>
      <c r="L192" s="105"/>
      <c r="M192" s="105"/>
      <c r="N192" s="105"/>
      <c r="O192" s="105"/>
      <c r="P192" s="105"/>
      <c r="Q192" s="105"/>
      <c r="R192" s="105"/>
      <c r="S192" s="105"/>
      <c r="T192" s="105"/>
      <c r="U192" s="105"/>
      <c r="V192" s="105"/>
      <c r="W192" s="105"/>
      <c r="X192" s="105"/>
      <c r="Y192" s="105"/>
      <c r="Z192" s="105"/>
      <c r="AA192" s="105"/>
    </row>
    <row r="193" spans="1:27" x14ac:dyDescent="0.2">
      <c r="F193" s="105"/>
      <c r="G193" s="105"/>
      <c r="H193" s="105"/>
      <c r="I193" s="105"/>
      <c r="J193" s="105"/>
      <c r="K193" s="105"/>
      <c r="L193" s="105"/>
      <c r="M193" s="105"/>
      <c r="N193" s="105"/>
      <c r="O193" s="105"/>
      <c r="P193" s="105"/>
      <c r="Q193" s="105"/>
      <c r="R193" s="105"/>
      <c r="S193" s="105"/>
      <c r="T193" s="105"/>
      <c r="U193" s="105"/>
      <c r="V193" s="105"/>
      <c r="W193" s="105"/>
      <c r="X193" s="105"/>
      <c r="Y193" s="105"/>
      <c r="Z193" s="105"/>
      <c r="AA193" s="105"/>
    </row>
    <row r="194" spans="1:27" x14ac:dyDescent="0.2">
      <c r="F194" s="105"/>
      <c r="G194" s="105"/>
      <c r="H194" s="105"/>
      <c r="I194" s="105"/>
      <c r="J194" s="105"/>
      <c r="K194" s="105"/>
      <c r="L194" s="105"/>
      <c r="M194" s="105"/>
      <c r="N194" s="105"/>
      <c r="O194" s="105"/>
      <c r="P194" s="105"/>
      <c r="Q194" s="105"/>
      <c r="R194" s="105"/>
      <c r="S194" s="105"/>
      <c r="T194" s="105"/>
      <c r="U194" s="105"/>
      <c r="V194" s="105"/>
      <c r="W194" s="105"/>
      <c r="X194" s="105"/>
      <c r="Y194" s="105"/>
      <c r="Z194" s="105"/>
      <c r="AA194" s="105"/>
    </row>
    <row r="201" spans="1:27" s="154" customFormat="1" x14ac:dyDescent="0.2"/>
    <row r="204" spans="1:27" ht="24.75" customHeight="1" x14ac:dyDescent="0.2">
      <c r="A204" s="28"/>
      <c r="B204" s="28"/>
      <c r="C204" s="28"/>
      <c r="D204" s="28"/>
      <c r="E204" s="28"/>
    </row>
    <row r="205" spans="1:27" ht="15" customHeight="1" x14ac:dyDescent="0.2">
      <c r="A205" s="28"/>
      <c r="B205" s="28"/>
      <c r="C205" s="28"/>
      <c r="D205" s="28"/>
      <c r="E205" s="28"/>
    </row>
    <row r="206" spans="1:27" x14ac:dyDescent="0.2">
      <c r="A206" s="28"/>
      <c r="B206" s="28"/>
      <c r="C206" s="28"/>
      <c r="D206" s="29"/>
      <c r="E206" s="28"/>
    </row>
    <row r="207" spans="1:27" x14ac:dyDescent="0.2">
      <c r="A207" s="29"/>
      <c r="B207" s="29"/>
      <c r="C207" s="29"/>
      <c r="D207" s="29"/>
      <c r="E207" s="28"/>
    </row>
    <row r="208" spans="1:27" x14ac:dyDescent="0.2">
      <c r="A208" s="29"/>
      <c r="B208" s="29"/>
      <c r="C208" s="29"/>
      <c r="D208" s="29"/>
      <c r="E208" s="28"/>
    </row>
    <row r="209" spans="1:6" x14ac:dyDescent="0.2">
      <c r="A209" s="29"/>
      <c r="B209" s="29"/>
      <c r="C209" s="29"/>
      <c r="D209" s="29"/>
      <c r="E209" s="28"/>
    </row>
    <row r="210" spans="1:6" x14ac:dyDescent="0.2">
      <c r="A210" s="29"/>
      <c r="B210" s="29"/>
      <c r="C210" s="29"/>
      <c r="D210" s="29"/>
      <c r="E210" s="29"/>
    </row>
    <row r="211" spans="1:6" x14ac:dyDescent="0.2">
      <c r="A211" s="29"/>
      <c r="B211" s="29"/>
      <c r="C211" s="29"/>
      <c r="D211" s="29"/>
      <c r="E211" s="29"/>
    </row>
    <row r="212" spans="1:6" x14ac:dyDescent="0.2">
      <c r="A212" s="29"/>
      <c r="B212" s="29"/>
      <c r="C212" s="29"/>
      <c r="D212" s="29"/>
      <c r="E212" s="29"/>
    </row>
    <row r="213" spans="1:6" x14ac:dyDescent="0.2">
      <c r="A213" s="29"/>
      <c r="B213" s="29"/>
      <c r="C213" s="29"/>
      <c r="D213" s="29"/>
      <c r="E213" s="29"/>
    </row>
    <row r="214" spans="1:6" x14ac:dyDescent="0.2">
      <c r="A214" s="29"/>
      <c r="B214" s="29"/>
      <c r="C214" s="29"/>
      <c r="D214" s="29"/>
      <c r="E214" s="29"/>
    </row>
    <row r="215" spans="1:6" x14ac:dyDescent="0.2">
      <c r="A215" s="29"/>
      <c r="B215" s="29"/>
      <c r="C215" s="29"/>
      <c r="D215" s="29"/>
      <c r="E215" s="28"/>
    </row>
    <row r="216" spans="1:6" x14ac:dyDescent="0.2">
      <c r="A216" s="29"/>
      <c r="B216" s="29"/>
      <c r="C216" s="29"/>
      <c r="D216" s="29"/>
      <c r="E216" s="28"/>
    </row>
    <row r="217" spans="1:6" x14ac:dyDescent="0.2">
      <c r="A217" s="29"/>
      <c r="B217" s="29"/>
      <c r="C217" s="29"/>
      <c r="D217" s="29"/>
      <c r="E217" s="28"/>
    </row>
    <row r="218" spans="1:6" x14ac:dyDescent="0.2">
      <c r="A218" s="29"/>
      <c r="B218" s="29"/>
      <c r="C218" s="29"/>
      <c r="D218" s="29"/>
      <c r="E218" s="28"/>
      <c r="F218" s="29"/>
    </row>
    <row r="219" spans="1:6" x14ac:dyDescent="0.2">
      <c r="A219" s="29"/>
      <c r="B219" s="29"/>
      <c r="C219" s="29"/>
      <c r="D219" s="29"/>
      <c r="E219" s="28"/>
      <c r="F219" s="29"/>
    </row>
    <row r="220" spans="1:6" x14ac:dyDescent="0.2">
      <c r="A220" s="29"/>
      <c r="B220" s="29"/>
      <c r="C220" s="29"/>
      <c r="D220" s="29"/>
      <c r="E220" s="28"/>
      <c r="F220" s="29"/>
    </row>
    <row r="221" spans="1:6" ht="34.5" customHeight="1" x14ac:dyDescent="0.2">
      <c r="A221" s="29"/>
      <c r="B221" s="29"/>
      <c r="C221" s="29"/>
      <c r="D221" s="29"/>
      <c r="E221" s="29"/>
      <c r="F221" s="29"/>
    </row>
    <row r="222" spans="1:6" x14ac:dyDescent="0.2">
      <c r="A222" s="29"/>
      <c r="B222" s="29"/>
      <c r="C222" s="29"/>
      <c r="D222" s="29"/>
      <c r="E222" s="29"/>
      <c r="F222" s="29"/>
    </row>
    <row r="223" spans="1:6" x14ac:dyDescent="0.2">
      <c r="A223" s="29"/>
      <c r="B223" s="29"/>
      <c r="C223" s="29"/>
      <c r="D223" s="29"/>
      <c r="E223" s="29"/>
      <c r="F223" s="29"/>
    </row>
    <row r="224" spans="1:6" x14ac:dyDescent="0.2">
      <c r="B224" s="28"/>
      <c r="C224" s="28"/>
      <c r="D224" s="28"/>
      <c r="E224" s="28"/>
      <c r="F224" s="29"/>
    </row>
    <row r="225" spans="1:7" x14ac:dyDescent="0.2">
      <c r="A225" s="28"/>
      <c r="B225" s="28"/>
      <c r="C225" s="28"/>
      <c r="D225" s="28"/>
      <c r="E225" s="28"/>
      <c r="F225" s="29"/>
      <c r="G225" s="29"/>
    </row>
    <row r="226" spans="1:7" x14ac:dyDescent="0.2">
      <c r="A226" s="28"/>
      <c r="B226" s="28"/>
      <c r="C226" s="28"/>
      <c r="D226" s="28"/>
      <c r="E226" s="28"/>
      <c r="F226" s="29"/>
    </row>
    <row r="227" spans="1:7" x14ac:dyDescent="0.2">
      <c r="A227" s="29"/>
      <c r="B227" s="29"/>
      <c r="C227" s="29"/>
      <c r="D227" s="29"/>
      <c r="E227" s="29"/>
      <c r="F227" s="29"/>
    </row>
    <row r="228" spans="1:7" x14ac:dyDescent="0.2">
      <c r="A228" s="29"/>
      <c r="B228" s="29"/>
      <c r="C228" s="29"/>
      <c r="D228" s="29"/>
      <c r="E228" s="28"/>
      <c r="F228" s="29"/>
    </row>
    <row r="229" spans="1:7" x14ac:dyDescent="0.2">
      <c r="A229" s="29"/>
      <c r="B229" s="29"/>
      <c r="C229" s="29"/>
      <c r="D229" s="29"/>
      <c r="E229" s="29"/>
      <c r="F229" s="29"/>
    </row>
    <row r="230" spans="1:7" x14ac:dyDescent="0.2">
      <c r="A230" s="29"/>
      <c r="B230" s="29"/>
      <c r="C230" s="29"/>
      <c r="D230" s="29"/>
      <c r="E230" s="29"/>
      <c r="F230" s="29"/>
    </row>
    <row r="231" spans="1:7" x14ac:dyDescent="0.2">
      <c r="A231" s="29"/>
      <c r="B231" s="29"/>
      <c r="C231" s="29"/>
      <c r="D231" s="29"/>
      <c r="E231" s="29"/>
      <c r="F231" s="29"/>
    </row>
    <row r="232" spans="1:7" x14ac:dyDescent="0.2">
      <c r="A232" s="29"/>
      <c r="B232" s="29"/>
      <c r="C232" s="29"/>
      <c r="D232" s="29"/>
      <c r="E232" s="29"/>
      <c r="F232" s="29"/>
    </row>
    <row r="233" spans="1:7" x14ac:dyDescent="0.2">
      <c r="A233" s="29"/>
      <c r="B233" s="29"/>
      <c r="C233" s="29"/>
      <c r="D233" s="29"/>
      <c r="E233" s="29"/>
      <c r="F233" s="29"/>
    </row>
    <row r="234" spans="1:7" x14ac:dyDescent="0.2">
      <c r="A234" s="29"/>
      <c r="B234" s="29"/>
      <c r="C234" s="29"/>
      <c r="D234" s="29"/>
      <c r="E234" s="29"/>
      <c r="F234" s="29"/>
    </row>
    <row r="235" spans="1:7" x14ac:dyDescent="0.2">
      <c r="A235" s="29"/>
      <c r="B235" s="29"/>
      <c r="C235" s="29"/>
      <c r="D235" s="29"/>
      <c r="E235" s="28"/>
      <c r="F235" s="29"/>
    </row>
    <row r="236" spans="1:7" x14ac:dyDescent="0.2">
      <c r="A236" s="29"/>
      <c r="B236" s="29"/>
      <c r="C236" s="29"/>
      <c r="D236" s="29"/>
      <c r="E236" s="28"/>
      <c r="F236" s="29"/>
    </row>
    <row r="237" spans="1:7" x14ac:dyDescent="0.2">
      <c r="A237" s="29"/>
      <c r="B237" s="29"/>
      <c r="C237" s="29"/>
      <c r="D237" s="29"/>
      <c r="E237" s="28"/>
      <c r="F237" s="29"/>
    </row>
    <row r="238" spans="1:7" x14ac:dyDescent="0.2">
      <c r="A238" s="29"/>
      <c r="B238" s="29"/>
      <c r="C238" s="29"/>
      <c r="D238" s="29"/>
      <c r="E238" s="28"/>
      <c r="F238" s="29"/>
    </row>
    <row r="239" spans="1:7" x14ac:dyDescent="0.2">
      <c r="A239" s="29"/>
      <c r="B239" s="29"/>
      <c r="C239" s="29"/>
      <c r="D239" s="29"/>
      <c r="E239" s="28"/>
      <c r="F239" s="29"/>
    </row>
    <row r="240" spans="1:7" x14ac:dyDescent="0.2">
      <c r="A240" s="29"/>
      <c r="B240" s="29"/>
      <c r="C240" s="29"/>
      <c r="D240" s="29"/>
      <c r="E240" s="28"/>
      <c r="F240" s="29"/>
    </row>
    <row r="241" spans="1:6" x14ac:dyDescent="0.2">
      <c r="A241" s="29"/>
      <c r="B241" s="29"/>
      <c r="C241" s="29"/>
      <c r="D241" s="29"/>
      <c r="E241" s="29"/>
      <c r="F241" s="29"/>
    </row>
    <row r="242" spans="1:6" x14ac:dyDescent="0.2">
      <c r="F242" s="29"/>
    </row>
    <row r="243" spans="1:6" x14ac:dyDescent="0.2">
      <c r="F243" s="29"/>
    </row>
    <row r="244" spans="1:6" x14ac:dyDescent="0.2">
      <c r="F244" s="29"/>
    </row>
    <row r="245" spans="1:6" x14ac:dyDescent="0.2">
      <c r="F245" s="29"/>
    </row>
    <row r="246" spans="1:6" x14ac:dyDescent="0.2">
      <c r="F246" s="29"/>
    </row>
    <row r="247" spans="1:6" x14ac:dyDescent="0.2">
      <c r="F247" s="29"/>
    </row>
    <row r="248" spans="1:6" x14ac:dyDescent="0.2">
      <c r="F248" s="29"/>
    </row>
    <row r="249" spans="1:6" x14ac:dyDescent="0.2">
      <c r="F249" s="29"/>
    </row>
    <row r="250" spans="1:6" x14ac:dyDescent="0.2">
      <c r="F250" s="29"/>
    </row>
    <row r="251" spans="1:6" x14ac:dyDescent="0.2">
      <c r="F251" s="29"/>
    </row>
  </sheetData>
  <sheetProtection selectLockedCells="1" selectUnlockedCells="1"/>
  <mergeCells count="3">
    <mergeCell ref="A74:I74"/>
    <mergeCell ref="A3:D3"/>
    <mergeCell ref="K74:S74"/>
  </mergeCells>
  <phoneticPr fontId="0" type="noConversion"/>
  <printOptions horizontalCentered="1" verticalCentered="1"/>
  <pageMargins left="0.39370078740157483" right="0.39370078740157483" top="0.59055118110236227" bottom="0.59055118110236227" header="0.51181102362204722" footer="0.51181102362204722"/>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5"/>
  <dimension ref="A2:O70"/>
  <sheetViews>
    <sheetView topLeftCell="A32" zoomScale="70" workbookViewId="0">
      <selection activeCell="B8" sqref="B8:F8"/>
    </sheetView>
  </sheetViews>
  <sheetFormatPr baseColWidth="10" defaultRowHeight="12.75" x14ac:dyDescent="0.2"/>
  <cols>
    <col min="1" max="1" width="16.42578125" style="3" customWidth="1"/>
    <col min="2" max="2" width="7.85546875" style="3" customWidth="1"/>
    <col min="3" max="13" width="10" style="3" customWidth="1"/>
    <col min="14" max="14" width="5.5703125" style="3" customWidth="1"/>
    <col min="15" max="16384" width="11.42578125" style="3"/>
  </cols>
  <sheetData>
    <row r="2" spans="1:15" x14ac:dyDescent="0.2">
      <c r="A2" s="50" t="s">
        <v>88</v>
      </c>
      <c r="B2" s="50"/>
      <c r="C2" s="50"/>
      <c r="D2" s="50"/>
      <c r="E2" s="86" t="s">
        <v>299</v>
      </c>
      <c r="F2" s="50"/>
      <c r="G2" s="50"/>
      <c r="H2" s="50"/>
      <c r="I2" s="50"/>
      <c r="J2" s="50"/>
      <c r="K2" s="50"/>
      <c r="L2" s="46"/>
      <c r="M2" s="46"/>
    </row>
    <row r="3" spans="1:15" x14ac:dyDescent="0.2">
      <c r="A3" s="50"/>
      <c r="B3" s="50"/>
      <c r="C3" s="50"/>
      <c r="D3" s="50"/>
      <c r="E3" s="50"/>
      <c r="F3" s="50"/>
      <c r="G3" s="50"/>
      <c r="H3" s="50"/>
      <c r="I3" s="50"/>
      <c r="J3" s="50"/>
      <c r="K3" s="50"/>
      <c r="L3" s="46"/>
      <c r="M3" s="46"/>
    </row>
    <row r="4" spans="1:15" x14ac:dyDescent="0.2">
      <c r="A4" s="50"/>
      <c r="B4" s="50"/>
      <c r="C4" s="50"/>
      <c r="D4" s="50"/>
      <c r="E4" s="50"/>
      <c r="F4" s="50"/>
      <c r="G4" s="50"/>
      <c r="H4" s="50"/>
      <c r="I4" s="50"/>
      <c r="J4" s="50"/>
      <c r="K4" s="50"/>
      <c r="L4" s="46"/>
      <c r="M4" s="46"/>
    </row>
    <row r="5" spans="1:15" x14ac:dyDescent="0.2">
      <c r="A5" s="50">
        <v>2011</v>
      </c>
      <c r="B5" s="50"/>
      <c r="C5" s="50"/>
      <c r="D5" s="50"/>
      <c r="E5" s="50"/>
      <c r="F5" s="50"/>
      <c r="G5" s="50"/>
      <c r="H5" s="50"/>
      <c r="I5" s="50"/>
      <c r="J5" s="50"/>
      <c r="K5" s="50"/>
      <c r="L5" s="46"/>
      <c r="M5" s="46"/>
    </row>
    <row r="6" spans="1:15" x14ac:dyDescent="0.2">
      <c r="A6" s="50"/>
      <c r="B6" s="50"/>
      <c r="C6" s="50"/>
      <c r="D6" s="50"/>
      <c r="E6" s="50"/>
      <c r="F6" s="50"/>
      <c r="G6" s="50"/>
      <c r="H6" s="50"/>
      <c r="I6" s="50"/>
      <c r="J6" s="50"/>
      <c r="K6" s="50"/>
      <c r="L6" s="46"/>
      <c r="M6" s="46"/>
    </row>
    <row r="7" spans="1:15" x14ac:dyDescent="0.2">
      <c r="A7" s="50"/>
      <c r="B7" s="50"/>
      <c r="C7" s="50"/>
      <c r="D7" s="50" t="s">
        <v>89</v>
      </c>
      <c r="E7" s="50"/>
      <c r="F7" s="50"/>
      <c r="G7" s="50"/>
      <c r="H7" s="50"/>
      <c r="I7" s="50"/>
      <c r="J7" s="50"/>
      <c r="K7" s="50"/>
      <c r="L7" s="46"/>
      <c r="M7" s="46"/>
      <c r="O7" s="87"/>
    </row>
    <row r="8" spans="1:15" x14ac:dyDescent="0.2">
      <c r="A8" s="50"/>
      <c r="B8" s="50"/>
      <c r="C8" s="51">
        <v>1</v>
      </c>
      <c r="D8" s="49">
        <v>1.5</v>
      </c>
      <c r="E8" s="49">
        <v>2</v>
      </c>
      <c r="F8" s="49">
        <v>2.5</v>
      </c>
      <c r="G8" s="49">
        <v>3</v>
      </c>
      <c r="H8" s="49">
        <v>3.5</v>
      </c>
      <c r="I8" s="49">
        <v>4</v>
      </c>
      <c r="J8" s="49">
        <v>4.5</v>
      </c>
      <c r="K8" s="49">
        <v>5</v>
      </c>
      <c r="L8" s="47"/>
      <c r="M8" s="47"/>
      <c r="N8" s="4"/>
      <c r="O8" s="4"/>
    </row>
    <row r="9" spans="1:15" x14ac:dyDescent="0.2">
      <c r="A9" s="50" t="s">
        <v>90</v>
      </c>
      <c r="B9" s="50"/>
      <c r="C9" s="50">
        <v>5963</v>
      </c>
      <c r="D9" s="50">
        <f>$C$9*D8</f>
        <v>8944.5</v>
      </c>
      <c r="E9" s="50">
        <f t="shared" ref="E9:K9" si="0">$C$9*E8</f>
        <v>11926</v>
      </c>
      <c r="F9" s="50">
        <f t="shared" si="0"/>
        <v>14907.5</v>
      </c>
      <c r="G9" s="50">
        <f t="shared" si="0"/>
        <v>17889</v>
      </c>
      <c r="H9" s="50">
        <f t="shared" si="0"/>
        <v>20870.5</v>
      </c>
      <c r="I9" s="50">
        <f t="shared" si="0"/>
        <v>23852</v>
      </c>
      <c r="J9" s="50">
        <f t="shared" si="0"/>
        <v>26833.5</v>
      </c>
      <c r="K9" s="50">
        <f t="shared" si="0"/>
        <v>29815</v>
      </c>
      <c r="L9" s="46"/>
      <c r="M9" s="46"/>
    </row>
    <row r="10" spans="1:15" x14ac:dyDescent="0.2">
      <c r="A10" s="50"/>
      <c r="B10" s="50"/>
      <c r="C10" s="50"/>
      <c r="D10" s="50"/>
      <c r="E10" s="50"/>
      <c r="F10" s="50"/>
      <c r="G10" s="50"/>
      <c r="H10" s="50"/>
      <c r="I10" s="50"/>
      <c r="J10" s="50"/>
      <c r="K10" s="50"/>
      <c r="L10" s="46"/>
      <c r="M10" s="46"/>
    </row>
    <row r="11" spans="1:15" x14ac:dyDescent="0.2">
      <c r="A11" s="50" t="s">
        <v>173</v>
      </c>
      <c r="B11" s="50"/>
      <c r="C11" s="50">
        <v>11896</v>
      </c>
      <c r="D11" s="50">
        <f>$C$11*D8</f>
        <v>17844</v>
      </c>
      <c r="E11" s="50">
        <f t="shared" ref="E11:K11" si="1">$C$11*E8</f>
        <v>23792</v>
      </c>
      <c r="F11" s="50">
        <f t="shared" si="1"/>
        <v>29740</v>
      </c>
      <c r="G11" s="50">
        <f t="shared" si="1"/>
        <v>35688</v>
      </c>
      <c r="H11" s="50">
        <f t="shared" si="1"/>
        <v>41636</v>
      </c>
      <c r="I11" s="50">
        <f t="shared" si="1"/>
        <v>47584</v>
      </c>
      <c r="J11" s="50">
        <f t="shared" si="1"/>
        <v>53532</v>
      </c>
      <c r="K11" s="50">
        <f t="shared" si="1"/>
        <v>59480</v>
      </c>
      <c r="L11" s="46"/>
      <c r="M11" s="46"/>
    </row>
    <row r="12" spans="1:15" x14ac:dyDescent="0.2">
      <c r="A12" s="50" t="s">
        <v>91</v>
      </c>
      <c r="B12" s="50"/>
      <c r="C12" s="50">
        <v>328</v>
      </c>
      <c r="D12" s="50">
        <v>492</v>
      </c>
      <c r="E12" s="50">
        <v>656</v>
      </c>
      <c r="F12" s="50">
        <v>820</v>
      </c>
      <c r="G12" s="50">
        <v>984</v>
      </c>
      <c r="H12" s="50">
        <v>1148</v>
      </c>
      <c r="I12" s="50">
        <v>1312</v>
      </c>
      <c r="J12" s="50">
        <v>1476</v>
      </c>
      <c r="K12" s="50">
        <v>1640</v>
      </c>
      <c r="L12" s="46"/>
      <c r="M12" s="46"/>
    </row>
    <row r="13" spans="1:15" x14ac:dyDescent="0.2">
      <c r="A13" s="50"/>
      <c r="B13" s="50"/>
      <c r="C13" s="50"/>
      <c r="D13" s="50"/>
      <c r="E13" s="50"/>
      <c r="F13" s="50"/>
      <c r="G13" s="50"/>
      <c r="H13" s="50"/>
      <c r="I13" s="50"/>
      <c r="J13" s="50"/>
      <c r="K13" s="50"/>
      <c r="L13" s="46"/>
      <c r="M13" s="46"/>
    </row>
    <row r="14" spans="1:15" x14ac:dyDescent="0.2">
      <c r="A14" s="50" t="s">
        <v>174</v>
      </c>
      <c r="B14" s="50"/>
      <c r="C14" s="50">
        <v>26420</v>
      </c>
      <c r="D14" s="50">
        <v>36836</v>
      </c>
      <c r="E14" s="50">
        <f>$C$14*E8</f>
        <v>52840</v>
      </c>
      <c r="F14" s="50">
        <v>63257</v>
      </c>
      <c r="G14" s="50">
        <v>73673</v>
      </c>
      <c r="H14" s="50">
        <v>88220</v>
      </c>
      <c r="I14" s="50">
        <v>94503</v>
      </c>
      <c r="J14" s="50">
        <v>109050</v>
      </c>
      <c r="K14" s="50">
        <v>115333</v>
      </c>
      <c r="L14" s="46"/>
      <c r="M14" s="46"/>
      <c r="O14" s="87"/>
    </row>
    <row r="15" spans="1:15" x14ac:dyDescent="0.2">
      <c r="A15" s="50" t="s">
        <v>91</v>
      </c>
      <c r="B15" s="50"/>
      <c r="C15" s="50">
        <v>1339</v>
      </c>
      <c r="D15" s="50">
        <v>2009</v>
      </c>
      <c r="E15" s="50">
        <v>2678</v>
      </c>
      <c r="F15" s="50">
        <v>3348</v>
      </c>
      <c r="G15" s="50">
        <v>4017</v>
      </c>
      <c r="H15" s="50">
        <v>4687</v>
      </c>
      <c r="I15" s="50">
        <v>5356</v>
      </c>
      <c r="J15" s="50">
        <v>6026</v>
      </c>
      <c r="K15" s="50">
        <v>6696</v>
      </c>
      <c r="L15" s="46"/>
      <c r="M15" s="46"/>
    </row>
    <row r="16" spans="1:15" x14ac:dyDescent="0.2">
      <c r="A16" s="50"/>
      <c r="B16" s="50"/>
      <c r="C16" s="50"/>
      <c r="D16" s="50"/>
      <c r="E16" s="50"/>
      <c r="F16" s="50"/>
      <c r="G16" s="50"/>
      <c r="H16" s="50"/>
      <c r="I16" s="50"/>
      <c r="J16" s="50"/>
      <c r="K16" s="50"/>
      <c r="L16" s="46"/>
      <c r="M16" s="46"/>
    </row>
    <row r="17" spans="1:13" x14ac:dyDescent="0.2">
      <c r="A17" s="50" t="s">
        <v>175</v>
      </c>
      <c r="B17" s="50"/>
      <c r="C17" s="50">
        <v>70830</v>
      </c>
      <c r="D17" s="50">
        <v>70830</v>
      </c>
      <c r="E17" s="50">
        <f>$C$17*E8</f>
        <v>141660</v>
      </c>
      <c r="F17" s="50">
        <v>141660</v>
      </c>
      <c r="G17" s="50">
        <v>141660</v>
      </c>
      <c r="H17" s="50">
        <v>141660</v>
      </c>
      <c r="I17" s="50">
        <v>141660</v>
      </c>
      <c r="J17" s="50">
        <v>141660</v>
      </c>
      <c r="K17" s="50">
        <v>141660</v>
      </c>
      <c r="L17" s="46"/>
      <c r="M17" s="46"/>
    </row>
    <row r="18" spans="1:13" x14ac:dyDescent="0.2">
      <c r="A18" s="50" t="s">
        <v>91</v>
      </c>
      <c r="B18" s="50"/>
      <c r="C18" s="50">
        <v>5566</v>
      </c>
      <c r="D18" s="50">
        <v>7902</v>
      </c>
      <c r="E18" s="50">
        <v>11133</v>
      </c>
      <c r="F18" s="50">
        <v>13469</v>
      </c>
      <c r="G18" s="50">
        <v>15805</v>
      </c>
      <c r="H18" s="50">
        <v>18802</v>
      </c>
      <c r="I18" s="50">
        <v>20477</v>
      </c>
      <c r="J18" s="50">
        <v>23474</v>
      </c>
      <c r="K18" s="50">
        <v>25149</v>
      </c>
      <c r="L18" s="46"/>
      <c r="M18" s="46"/>
    </row>
    <row r="19" spans="1:13" x14ac:dyDescent="0.2">
      <c r="A19" s="50"/>
      <c r="B19" s="50"/>
      <c r="C19" s="50"/>
      <c r="D19" s="50"/>
      <c r="E19" s="50"/>
      <c r="F19" s="50"/>
      <c r="G19" s="50"/>
      <c r="H19" s="50"/>
      <c r="I19" s="50"/>
      <c r="J19" s="50"/>
      <c r="K19" s="50"/>
      <c r="L19" s="46"/>
      <c r="M19" s="46"/>
    </row>
    <row r="20" spans="1:13" x14ac:dyDescent="0.2">
      <c r="A20" s="90" t="s">
        <v>298</v>
      </c>
      <c r="B20" s="50"/>
      <c r="C20" s="50">
        <v>70830</v>
      </c>
      <c r="D20" s="50">
        <v>70830</v>
      </c>
      <c r="E20" s="50">
        <f>$C$20*E8</f>
        <v>141660</v>
      </c>
      <c r="F20" s="50">
        <v>141660</v>
      </c>
      <c r="G20" s="50">
        <v>141660</v>
      </c>
      <c r="H20" s="50">
        <v>141660</v>
      </c>
      <c r="I20" s="50">
        <v>141660</v>
      </c>
      <c r="J20" s="50">
        <v>141660</v>
      </c>
      <c r="K20" s="50">
        <v>141660</v>
      </c>
      <c r="L20" s="46"/>
      <c r="M20" s="46"/>
    </row>
    <row r="21" spans="1:13" x14ac:dyDescent="0.2">
      <c r="A21" s="50" t="s">
        <v>91</v>
      </c>
      <c r="B21" s="50"/>
      <c r="C21" s="50">
        <v>13358</v>
      </c>
      <c r="D21" s="50">
        <v>15694</v>
      </c>
      <c r="E21" s="50">
        <v>26715</v>
      </c>
      <c r="F21" s="50">
        <v>29051</v>
      </c>
      <c r="G21" s="50">
        <v>31387</v>
      </c>
      <c r="H21" s="50">
        <v>34384</v>
      </c>
      <c r="I21" s="50">
        <v>36059</v>
      </c>
      <c r="J21" s="50">
        <v>39056</v>
      </c>
      <c r="K21" s="50">
        <v>40731</v>
      </c>
      <c r="L21" s="46"/>
      <c r="M21" s="46"/>
    </row>
    <row r="22" spans="1:13" x14ac:dyDescent="0.2">
      <c r="A22" s="50"/>
      <c r="B22" s="50"/>
      <c r="C22" s="50"/>
      <c r="D22" s="50"/>
      <c r="E22" s="50"/>
      <c r="F22" s="50"/>
      <c r="G22" s="50"/>
      <c r="H22" s="50"/>
      <c r="I22" s="50"/>
      <c r="J22" s="50"/>
      <c r="K22" s="50"/>
      <c r="L22" s="46"/>
      <c r="M22" s="46"/>
    </row>
    <row r="23" spans="1:13" x14ac:dyDescent="0.2">
      <c r="A23" s="50"/>
      <c r="B23" s="50"/>
      <c r="C23" s="50"/>
      <c r="D23" s="50"/>
      <c r="E23" s="50"/>
      <c r="F23" s="50"/>
      <c r="G23" s="50"/>
      <c r="H23" s="50"/>
      <c r="I23" s="50"/>
      <c r="J23" s="50"/>
      <c r="K23" s="50"/>
      <c r="L23" s="46"/>
      <c r="M23" s="46"/>
    </row>
    <row r="24" spans="1:13" x14ac:dyDescent="0.2">
      <c r="A24" s="50"/>
      <c r="B24" s="50"/>
      <c r="C24" s="50"/>
      <c r="D24" s="50"/>
      <c r="E24" s="50"/>
      <c r="F24" s="50"/>
      <c r="G24" s="50"/>
      <c r="H24" s="50"/>
      <c r="I24" s="50"/>
      <c r="J24" s="50"/>
      <c r="K24" s="50"/>
      <c r="L24" s="46"/>
      <c r="M24" s="46"/>
    </row>
    <row r="25" spans="1:13" x14ac:dyDescent="0.2">
      <c r="A25" s="50"/>
      <c r="B25" s="50"/>
      <c r="C25" s="50"/>
      <c r="D25" s="50"/>
      <c r="E25" s="50"/>
      <c r="F25" s="50"/>
      <c r="G25" s="50"/>
      <c r="H25" s="50"/>
      <c r="I25" s="50"/>
      <c r="J25" s="50"/>
      <c r="K25" s="50"/>
      <c r="L25" s="46"/>
      <c r="M25" s="46"/>
    </row>
    <row r="26" spans="1:13" x14ac:dyDescent="0.2">
      <c r="A26" s="50"/>
      <c r="B26" s="50"/>
      <c r="C26" s="50"/>
      <c r="D26" s="50"/>
      <c r="E26" s="50"/>
      <c r="F26" s="50"/>
      <c r="G26" s="50"/>
      <c r="H26" s="50"/>
      <c r="I26" s="50"/>
      <c r="J26" s="50"/>
      <c r="K26" s="50"/>
      <c r="L26" s="46"/>
      <c r="M26" s="46"/>
    </row>
    <row r="27" spans="1:13" x14ac:dyDescent="0.2">
      <c r="A27" s="50"/>
      <c r="B27" s="50"/>
      <c r="C27" s="50"/>
      <c r="D27" s="50"/>
      <c r="E27" s="50"/>
      <c r="F27" s="50"/>
      <c r="G27" s="50"/>
      <c r="H27" s="50"/>
      <c r="I27" s="50"/>
      <c r="J27" s="50"/>
      <c r="K27" s="50"/>
      <c r="L27" s="46"/>
      <c r="M27" s="46"/>
    </row>
    <row r="28" spans="1:13" x14ac:dyDescent="0.2">
      <c r="A28" s="50"/>
      <c r="B28" s="50"/>
      <c r="C28" s="50"/>
      <c r="D28" s="50"/>
      <c r="E28" s="50"/>
      <c r="F28" s="50"/>
      <c r="G28" s="50"/>
      <c r="H28" s="50"/>
      <c r="I28" s="50"/>
      <c r="J28" s="50"/>
      <c r="K28" s="50"/>
      <c r="L28" s="46"/>
      <c r="M28" s="46"/>
    </row>
    <row r="29" spans="1:13" x14ac:dyDescent="0.2">
      <c r="A29" s="50"/>
      <c r="B29" s="50"/>
      <c r="C29" s="50"/>
      <c r="D29" s="50"/>
      <c r="E29" s="50"/>
      <c r="F29" s="50"/>
      <c r="G29" s="50"/>
      <c r="H29" s="50"/>
      <c r="I29" s="50"/>
      <c r="J29" s="50"/>
      <c r="K29" s="50"/>
      <c r="L29" s="46"/>
      <c r="M29" s="46"/>
    </row>
    <row r="30" spans="1:13" x14ac:dyDescent="0.2">
      <c r="A30" s="50" t="s">
        <v>43</v>
      </c>
      <c r="B30" s="50" t="s">
        <v>120</v>
      </c>
      <c r="C30" s="50">
        <f ca="1">simulateur!$E$131</f>
        <v>151590.4733810391</v>
      </c>
      <c r="D30" s="50">
        <f ca="1">simulateur!$E$131</f>
        <v>151590.4733810391</v>
      </c>
      <c r="E30" s="50">
        <f ca="1">simulateur!$E$131</f>
        <v>151590.4733810391</v>
      </c>
      <c r="F30" s="50">
        <f ca="1">simulateur!$E$131</f>
        <v>151590.4733810391</v>
      </c>
      <c r="G30" s="50">
        <f ca="1">simulateur!$E$131</f>
        <v>151590.4733810391</v>
      </c>
      <c r="H30" s="50">
        <f ca="1">simulateur!$E$131</f>
        <v>151590.4733810391</v>
      </c>
      <c r="I30" s="50">
        <f ca="1">simulateur!$E$131</f>
        <v>151590.4733810391</v>
      </c>
      <c r="J30" s="50">
        <f ca="1">simulateur!$E$131</f>
        <v>151590.4733810391</v>
      </c>
      <c r="K30" s="50">
        <f ca="1">simulateur!$E$131</f>
        <v>151590.4733810391</v>
      </c>
      <c r="L30" s="46"/>
      <c r="M30" s="46"/>
    </row>
    <row r="31" spans="1:13" x14ac:dyDescent="0.2">
      <c r="A31" s="50"/>
      <c r="B31" s="50" t="s">
        <v>148</v>
      </c>
      <c r="C31" s="50">
        <f ca="1">simulateur!$F$432</f>
        <v>125838.22575613341</v>
      </c>
      <c r="D31" s="50">
        <f ca="1">simulateur!$F$432</f>
        <v>125838.22575613341</v>
      </c>
      <c r="E31" s="50">
        <f ca="1">simulateur!$F$432</f>
        <v>125838.22575613341</v>
      </c>
      <c r="F31" s="50">
        <f ca="1">simulateur!$F$432</f>
        <v>125838.22575613341</v>
      </c>
      <c r="G31" s="50">
        <f ca="1">simulateur!$F$432</f>
        <v>125838.22575613341</v>
      </c>
      <c r="H31" s="50">
        <f ca="1">simulateur!$F$432</f>
        <v>125838.22575613341</v>
      </c>
      <c r="I31" s="50">
        <f ca="1">simulateur!$F$432</f>
        <v>125838.22575613341</v>
      </c>
      <c r="J31" s="50">
        <f ca="1">simulateur!$F$432</f>
        <v>125838.22575613341</v>
      </c>
      <c r="K31" s="50">
        <f ca="1">simulateur!$F$432</f>
        <v>125838.22575613341</v>
      </c>
      <c r="L31" s="46"/>
      <c r="M31" s="46"/>
    </row>
    <row r="32" spans="1:13" x14ac:dyDescent="0.2">
      <c r="A32" s="50"/>
      <c r="B32" s="50" t="s">
        <v>227</v>
      </c>
      <c r="C32" s="50">
        <f ca="1">simulateur!$F$450</f>
        <v>122888.22575613341</v>
      </c>
      <c r="D32" s="50">
        <f ca="1">simulateur!$F$450</f>
        <v>122888.22575613341</v>
      </c>
      <c r="E32" s="50">
        <f ca="1">simulateur!$F$450</f>
        <v>122888.22575613341</v>
      </c>
      <c r="F32" s="50">
        <f ca="1">simulateur!$F$450</f>
        <v>122888.22575613341</v>
      </c>
      <c r="G32" s="50">
        <f ca="1">simulateur!$F$450</f>
        <v>122888.22575613341</v>
      </c>
      <c r="H32" s="50">
        <f ca="1">simulateur!$F$450</f>
        <v>122888.22575613341</v>
      </c>
      <c r="I32" s="50">
        <f ca="1">simulateur!$F$450</f>
        <v>122888.22575613341</v>
      </c>
      <c r="J32" s="50">
        <f ca="1">simulateur!$F$450</f>
        <v>122888.22575613341</v>
      </c>
      <c r="K32" s="50">
        <f ca="1">simulateur!$F$450</f>
        <v>122888.22575613341</v>
      </c>
      <c r="L32" s="46"/>
      <c r="M32" s="46"/>
    </row>
    <row r="33" spans="1:13" x14ac:dyDescent="0.2">
      <c r="A33" s="50" t="s">
        <v>92</v>
      </c>
      <c r="B33" s="50" t="s">
        <v>120</v>
      </c>
      <c r="C33" s="50">
        <f t="shared" ref="C33:K33" ca="1" si="2">IF(C$30&lt;C$9,0,IF(C$30&lt;C$11,C$30*5.5%-C$12,IF(C$30&lt;C$14,C$30*14%-C$15,IF(C$30&lt;C$17,C$30*30%-C$18,C$30*41%-C$21))))</f>
        <v>48794.094086226032</v>
      </c>
      <c r="D33" s="50">
        <f t="shared" ca="1" si="2"/>
        <v>46458.094086226032</v>
      </c>
      <c r="E33" s="50">
        <f t="shared" ca="1" si="2"/>
        <v>35437.094086226032</v>
      </c>
      <c r="F33" s="50">
        <f t="shared" ca="1" si="2"/>
        <v>33101.094086226032</v>
      </c>
      <c r="G33" s="50">
        <f t="shared" ca="1" si="2"/>
        <v>30765.094086226032</v>
      </c>
      <c r="H33" s="50">
        <f t="shared" ca="1" si="2"/>
        <v>27768.094086226032</v>
      </c>
      <c r="I33" s="50">
        <f t="shared" ca="1" si="2"/>
        <v>26093.094086226032</v>
      </c>
      <c r="J33" s="50">
        <f t="shared" ca="1" si="2"/>
        <v>23096.094086226032</v>
      </c>
      <c r="K33" s="50">
        <f t="shared" ca="1" si="2"/>
        <v>21421.094086226032</v>
      </c>
      <c r="L33" s="46"/>
      <c r="M33" s="46"/>
    </row>
    <row r="34" spans="1:13" x14ac:dyDescent="0.2">
      <c r="A34" s="50"/>
      <c r="B34" s="50" t="s">
        <v>148</v>
      </c>
      <c r="C34" s="50">
        <f t="shared" ref="C34:K34" ca="1" si="3">IF(C$31&lt;C$9,0,IF(C$31&lt;C$11,C$31*5.5%-C$12,IF(C$31&lt;C$14,C$31*14%-C$15,IF(C$31&lt;C$17,C$31*30%-C$18,C$31*41%-C$21))))</f>
        <v>38235.672560014697</v>
      </c>
      <c r="D34" s="50">
        <f t="shared" ca="1" si="3"/>
        <v>35899.672560014697</v>
      </c>
      <c r="E34" s="50">
        <f t="shared" ca="1" si="3"/>
        <v>26618.467726840019</v>
      </c>
      <c r="F34" s="50">
        <f t="shared" ca="1" si="3"/>
        <v>24282.467726840019</v>
      </c>
      <c r="G34" s="50">
        <f t="shared" ca="1" si="3"/>
        <v>21946.467726840019</v>
      </c>
      <c r="H34" s="50">
        <f t="shared" ca="1" si="3"/>
        <v>18949.467726840019</v>
      </c>
      <c r="I34" s="50">
        <f t="shared" ca="1" si="3"/>
        <v>17274.467726840019</v>
      </c>
      <c r="J34" s="50">
        <f t="shared" ca="1" si="3"/>
        <v>14277.467726840019</v>
      </c>
      <c r="K34" s="50">
        <f t="shared" ca="1" si="3"/>
        <v>12602.467726840019</v>
      </c>
      <c r="L34" s="46"/>
      <c r="M34" s="46"/>
    </row>
    <row r="35" spans="1:13" x14ac:dyDescent="0.2">
      <c r="A35" s="50"/>
      <c r="B35" s="50" t="s">
        <v>227</v>
      </c>
      <c r="C35" s="50">
        <f t="shared" ref="C35:K35" ca="1" si="4">IF(C$32&lt;C$9,0,IF(C$32&lt;C$11,C$32*5.5%-C$12,IF(C$32&lt;C$14,C$32*14%-C$15,IF(C$32&lt;C$17,C$32*30%-C$18,C$32*41%-C$21))))</f>
        <v>37026.172560014697</v>
      </c>
      <c r="D35" s="50">
        <f t="shared" ca="1" si="4"/>
        <v>34690.172560014697</v>
      </c>
      <c r="E35" s="50">
        <f t="shared" ca="1" si="4"/>
        <v>25733.467726840019</v>
      </c>
      <c r="F35" s="50">
        <f t="shared" ca="1" si="4"/>
        <v>23397.467726840019</v>
      </c>
      <c r="G35" s="50">
        <f t="shared" ca="1" si="4"/>
        <v>21061.467726840019</v>
      </c>
      <c r="H35" s="50">
        <f t="shared" ca="1" si="4"/>
        <v>18064.467726840019</v>
      </c>
      <c r="I35" s="50">
        <f t="shared" ca="1" si="4"/>
        <v>16389.467726840019</v>
      </c>
      <c r="J35" s="50">
        <f t="shared" ca="1" si="4"/>
        <v>13392.467726840019</v>
      </c>
      <c r="K35" s="50">
        <f t="shared" ca="1" si="4"/>
        <v>11717.467726840019</v>
      </c>
      <c r="L35" s="46"/>
      <c r="M35" s="46"/>
    </row>
    <row r="36" spans="1:13" x14ac:dyDescent="0.2">
      <c r="A36" s="46"/>
      <c r="B36" s="46"/>
      <c r="C36" s="46"/>
      <c r="D36" s="46"/>
      <c r="E36" s="46"/>
      <c r="F36" s="46"/>
      <c r="G36" s="46"/>
      <c r="H36" s="46"/>
      <c r="I36" s="46"/>
      <c r="J36" s="46"/>
      <c r="K36" s="46"/>
      <c r="L36" s="46"/>
      <c r="M36" s="46"/>
    </row>
    <row r="37" spans="1:13" x14ac:dyDescent="0.2">
      <c r="A37" s="46"/>
      <c r="B37" s="46"/>
      <c r="C37" s="46"/>
      <c r="D37" s="46"/>
      <c r="E37" s="46"/>
      <c r="F37" s="46"/>
      <c r="G37" s="46"/>
      <c r="H37" s="46"/>
      <c r="I37" s="46"/>
      <c r="J37" s="46"/>
      <c r="K37" s="46"/>
      <c r="L37" s="46"/>
      <c r="M37" s="46"/>
    </row>
    <row r="38" spans="1:13" ht="14.25" customHeight="1" x14ac:dyDescent="0.2">
      <c r="A38" s="46"/>
      <c r="B38" s="87" t="s">
        <v>584</v>
      </c>
      <c r="C38" s="46"/>
      <c r="D38" s="46"/>
      <c r="E38" s="46"/>
      <c r="F38" s="46"/>
      <c r="G38" s="46"/>
      <c r="H38" s="46"/>
      <c r="I38" s="46"/>
      <c r="J38" s="46"/>
      <c r="K38" s="46"/>
      <c r="L38" s="46"/>
      <c r="M38" s="46"/>
    </row>
    <row r="39" spans="1:13" x14ac:dyDescent="0.2">
      <c r="A39" s="46"/>
      <c r="B39" s="46"/>
      <c r="C39" s="46"/>
      <c r="D39" s="46"/>
      <c r="E39" s="46"/>
      <c r="F39" s="46"/>
      <c r="G39" s="46"/>
      <c r="H39" s="46"/>
      <c r="I39" s="46"/>
      <c r="J39" s="46"/>
      <c r="K39" s="46"/>
      <c r="L39" s="46"/>
      <c r="M39" s="46"/>
    </row>
    <row r="40" spans="1:13" x14ac:dyDescent="0.2">
      <c r="A40" s="87" t="s">
        <v>43</v>
      </c>
      <c r="B40" s="87" t="s">
        <v>585</v>
      </c>
      <c r="C40" s="46">
        <f ca="1">C31+simulateur!$L$576*60%</f>
        <v>126666.82575613342</v>
      </c>
      <c r="D40" s="46">
        <f ca="1">D31+simulateur!$L$576*60%</f>
        <v>126666.82575613342</v>
      </c>
      <c r="E40" s="46">
        <f ca="1">E31+simulateur!$L$576*60%</f>
        <v>126666.82575613342</v>
      </c>
      <c r="F40" s="46">
        <f ca="1">F31+simulateur!$L$576*60%</f>
        <v>126666.82575613342</v>
      </c>
      <c r="G40" s="46">
        <f ca="1">G31+simulateur!$L$576*60%</f>
        <v>126666.82575613342</v>
      </c>
      <c r="H40" s="46">
        <f ca="1">H31+simulateur!$L$576*60%</f>
        <v>126666.82575613342</v>
      </c>
      <c r="I40" s="46">
        <f ca="1">I31+simulateur!$L$576*60%</f>
        <v>126666.82575613342</v>
      </c>
      <c r="J40" s="46">
        <f ca="1">J31+simulateur!$L$576*60%</f>
        <v>126666.82575613342</v>
      </c>
      <c r="K40" s="46">
        <f ca="1">K31+simulateur!$L$576*60%</f>
        <v>126666.82575613342</v>
      </c>
      <c r="L40" s="46"/>
      <c r="M40" s="46"/>
    </row>
    <row r="41" spans="1:13" x14ac:dyDescent="0.2">
      <c r="A41" s="46"/>
      <c r="B41" s="87" t="s">
        <v>227</v>
      </c>
      <c r="C41" s="50">
        <f ca="1">simulateur!F$444+simulateur!F446-(simulateur!$F$267+simulateur!$L$576)*5.8%</f>
        <v>122808.12775613341</v>
      </c>
      <c r="D41" s="50">
        <f ca="1">simulateur!$F444+simulateur!F446-(simulateur!$F$267+simulateur!$L$576)*5.8%</f>
        <v>122808.12775613341</v>
      </c>
      <c r="E41" s="50">
        <f ca="1">simulateur!$F444+simulateur!F446-(simulateur!$F$267+simulateur!$L$576)*5.8%</f>
        <v>122808.12775613341</v>
      </c>
      <c r="F41" s="50">
        <f ca="1">simulateur!$F444+simulateur!F446-(simulateur!$F$267+simulateur!$L$576)*5.8%</f>
        <v>122808.12775613341</v>
      </c>
      <c r="G41" s="50">
        <f ca="1">simulateur!$F444+simulateur!F446-(simulateur!$F$267+simulateur!$L$576)*5.8%</f>
        <v>122808.12775613341</v>
      </c>
      <c r="H41" s="50">
        <f ca="1">simulateur!$F444+simulateur!F446-(simulateur!$F$267+simulateur!$L$576)*5.8%</f>
        <v>122808.12775613341</v>
      </c>
      <c r="I41" s="50">
        <f ca="1">simulateur!$F444+simulateur!F446-(simulateur!$F$267+simulateur!$L$576)*5.8%</f>
        <v>122808.12775613341</v>
      </c>
      <c r="J41" s="50">
        <f ca="1">simulateur!$F444+simulateur!F446-(simulateur!$F$267+simulateur!$L$576)*5.8%</f>
        <v>122808.12775613341</v>
      </c>
      <c r="K41" s="50">
        <f ca="1">simulateur!$F444+simulateur!F446-(simulateur!$F$267+simulateur!$L$576)*5.8%</f>
        <v>122808.12775613341</v>
      </c>
      <c r="L41" s="46"/>
      <c r="M41" s="46"/>
    </row>
    <row r="42" spans="1:13" x14ac:dyDescent="0.2">
      <c r="A42" s="87" t="s">
        <v>92</v>
      </c>
      <c r="B42" s="87" t="s">
        <v>586</v>
      </c>
      <c r="C42" s="50">
        <f ca="1">IF(C$40&lt;C$9,0,IF(C$40&lt;C$11,C$31*5.5%-C$12,IF(C$40&lt;C$14,C$40*14%-C$15,IF(C$40&lt;C$17,C$40*30%-C$18,C$40*41%-C$21))))</f>
        <v>38575.398560014699</v>
      </c>
      <c r="D42" s="50">
        <f t="shared" ref="D42:K42" ca="1" si="5">IF(D$40&lt;D$9,0,IF(D$40&lt;D$11,D$31*5.5%-D$12,IF(D$40&lt;D$14,D$40*14%-D$15,IF(D$40&lt;D$17,D$40*30%-D$18,D$40*41%-D$21))))</f>
        <v>36239.398560014699</v>
      </c>
      <c r="E42" s="50">
        <f t="shared" ca="1" si="5"/>
        <v>26867.047726840021</v>
      </c>
      <c r="F42" s="50">
        <f t="shared" ca="1" si="5"/>
        <v>24531.047726840021</v>
      </c>
      <c r="G42" s="50">
        <f t="shared" ca="1" si="5"/>
        <v>22195.047726840021</v>
      </c>
      <c r="H42" s="50">
        <f t="shared" ca="1" si="5"/>
        <v>19198.047726840021</v>
      </c>
      <c r="I42" s="50">
        <f t="shared" ca="1" si="5"/>
        <v>17523.047726840021</v>
      </c>
      <c r="J42" s="50">
        <f t="shared" ca="1" si="5"/>
        <v>14526.047726840021</v>
      </c>
      <c r="K42" s="50">
        <f t="shared" ca="1" si="5"/>
        <v>12851.047726840021</v>
      </c>
      <c r="L42" s="46"/>
      <c r="M42" s="46"/>
    </row>
    <row r="43" spans="1:13" x14ac:dyDescent="0.2">
      <c r="A43" s="46"/>
      <c r="B43" s="87" t="s">
        <v>588</v>
      </c>
      <c r="C43" s="50">
        <f ca="1">IF(C$41&lt;C$9,0,IF(C$41&lt;C$11,C$41*5.5%-C$12,IF(C$41&lt;C$14,C$41*14%-C$15,IF(C$41&lt;C$17,C$41*30%-C$18,C$41*41%-C$21))))</f>
        <v>36993.332380014697</v>
      </c>
      <c r="D43" s="50">
        <f t="shared" ref="D43:K43" ca="1" si="6">IF(D$41&lt;D$9,0,IF(D$41&lt;D$11,D$41*5.5%-D$12,IF(D$41&lt;D$14,D$41*14%-D$15,IF(D$41&lt;D$17,D$41*30%-D$18,D$41*41%-D$21))))</f>
        <v>34657.332380014697</v>
      </c>
      <c r="E43" s="50">
        <f t="shared" ca="1" si="6"/>
        <v>25709.43832684002</v>
      </c>
      <c r="F43" s="50">
        <f t="shared" ca="1" si="6"/>
        <v>23373.43832684002</v>
      </c>
      <c r="G43" s="50">
        <f t="shared" ca="1" si="6"/>
        <v>21037.43832684002</v>
      </c>
      <c r="H43" s="50">
        <f t="shared" ca="1" si="6"/>
        <v>18040.43832684002</v>
      </c>
      <c r="I43" s="50">
        <f t="shared" ca="1" si="6"/>
        <v>16365.43832684002</v>
      </c>
      <c r="J43" s="50">
        <f t="shared" ca="1" si="6"/>
        <v>13368.43832684002</v>
      </c>
      <c r="K43" s="50">
        <f t="shared" ca="1" si="6"/>
        <v>11693.43832684002</v>
      </c>
      <c r="L43" s="47"/>
      <c r="M43" s="47"/>
    </row>
    <row r="44" spans="1:13" x14ac:dyDescent="0.2">
      <c r="A44" s="46"/>
      <c r="B44" s="87" t="s">
        <v>587</v>
      </c>
      <c r="C44" s="46">
        <f ca="1">C43+(simulateur!$F$267+simulateur!$K$589)*0.19</f>
        <v>38893.332380014697</v>
      </c>
      <c r="D44" s="46">
        <f ca="1">D43+(simulateur!$F$267+simulateur!$K$589)*0.19</f>
        <v>36557.332380014697</v>
      </c>
      <c r="E44" s="46">
        <f ca="1">E43+(simulateur!$F$267+simulateur!$K$589)*0.19</f>
        <v>27609.43832684002</v>
      </c>
      <c r="F44" s="46">
        <f ca="1">F43+(simulateur!$F$267+simulateur!$K$589)*0.19</f>
        <v>25273.43832684002</v>
      </c>
      <c r="G44" s="46">
        <f ca="1">G43+(simulateur!$F$267+simulateur!$K$589)*0.19</f>
        <v>22937.43832684002</v>
      </c>
      <c r="H44" s="46">
        <f ca="1">H43+(simulateur!$F$267+simulateur!$K$589)*0.19</f>
        <v>19940.43832684002</v>
      </c>
      <c r="I44" s="46">
        <f ca="1">I43+(simulateur!$F$267+simulateur!$K$589)*0.19</f>
        <v>18265.43832684002</v>
      </c>
      <c r="J44" s="46">
        <f ca="1">J43+(simulateur!$F$267+simulateur!$K$589)*0.19</f>
        <v>15268.43832684002</v>
      </c>
      <c r="K44" s="46">
        <f ca="1">K43+(simulateur!$F$267+simulateur!$K$589)*0.19</f>
        <v>13593.43832684002</v>
      </c>
      <c r="L44" s="46"/>
      <c r="M44" s="46"/>
    </row>
    <row r="45" spans="1:13" x14ac:dyDescent="0.2">
      <c r="A45" s="46"/>
      <c r="B45" s="46"/>
      <c r="C45" s="46"/>
      <c r="D45" s="46"/>
      <c r="E45" s="46"/>
      <c r="F45" s="46"/>
      <c r="G45" s="46"/>
      <c r="H45" s="46"/>
      <c r="I45" s="46"/>
      <c r="J45" s="46"/>
      <c r="K45" s="46"/>
      <c r="L45" s="46"/>
      <c r="M45" s="46"/>
    </row>
    <row r="46" spans="1:13" x14ac:dyDescent="0.2">
      <c r="A46" s="46"/>
      <c r="B46" s="87" t="s">
        <v>589</v>
      </c>
      <c r="C46" s="46">
        <f ca="1">IF(C44&lt;C42,C44,C42)</f>
        <v>38575.398560014699</v>
      </c>
      <c r="D46" s="46">
        <f t="shared" ref="D46:K46" ca="1" si="7">IF(D44&lt;D42,D44,D42)</f>
        <v>36239.398560014699</v>
      </c>
      <c r="E46" s="46">
        <f t="shared" ca="1" si="7"/>
        <v>26867.047726840021</v>
      </c>
      <c r="F46" s="46">
        <f t="shared" ca="1" si="7"/>
        <v>24531.047726840021</v>
      </c>
      <c r="G46" s="46">
        <f t="shared" ca="1" si="7"/>
        <v>22195.047726840021</v>
      </c>
      <c r="H46" s="46">
        <f t="shared" ca="1" si="7"/>
        <v>19198.047726840021</v>
      </c>
      <c r="I46" s="46">
        <f t="shared" ca="1" si="7"/>
        <v>17523.047726840021</v>
      </c>
      <c r="J46" s="46">
        <f t="shared" ca="1" si="7"/>
        <v>14526.047726840021</v>
      </c>
      <c r="K46" s="46">
        <f t="shared" ca="1" si="7"/>
        <v>12851.047726840021</v>
      </c>
      <c r="L46" s="46"/>
      <c r="M46" s="46"/>
    </row>
    <row r="47" spans="1:13" x14ac:dyDescent="0.2">
      <c r="A47" s="46"/>
      <c r="B47" s="46"/>
      <c r="C47" s="46"/>
      <c r="D47" s="46"/>
      <c r="E47" s="46"/>
      <c r="F47" s="46"/>
      <c r="G47" s="46"/>
      <c r="H47" s="46"/>
      <c r="I47" s="46"/>
      <c r="J47" s="46"/>
      <c r="K47" s="46"/>
      <c r="L47" s="46"/>
      <c r="M47" s="46"/>
    </row>
    <row r="48" spans="1:13" x14ac:dyDescent="0.2">
      <c r="A48" s="46"/>
      <c r="B48" s="46"/>
      <c r="C48" s="46"/>
      <c r="D48" s="46"/>
      <c r="E48" s="46"/>
      <c r="F48" s="46"/>
      <c r="G48" s="46"/>
      <c r="H48" s="46"/>
      <c r="I48" s="46"/>
      <c r="J48" s="46"/>
      <c r="K48" s="46"/>
      <c r="L48" s="46"/>
      <c r="M48" s="46"/>
    </row>
    <row r="49" spans="1:13" x14ac:dyDescent="0.2">
      <c r="A49" s="46"/>
      <c r="B49" s="46"/>
      <c r="C49" s="46"/>
      <c r="D49" s="46"/>
      <c r="E49" s="46"/>
      <c r="F49" s="46"/>
      <c r="G49" s="46"/>
      <c r="H49" s="46"/>
      <c r="I49" s="46"/>
      <c r="J49" s="46"/>
      <c r="K49" s="46"/>
      <c r="L49" s="46"/>
      <c r="M49" s="46"/>
    </row>
    <row r="50" spans="1:13" x14ac:dyDescent="0.2">
      <c r="A50" s="46"/>
      <c r="B50" s="46"/>
      <c r="C50" s="46"/>
      <c r="D50" s="46"/>
      <c r="E50" s="46"/>
      <c r="F50" s="46"/>
      <c r="G50" s="46"/>
      <c r="H50" s="46"/>
      <c r="I50" s="46"/>
      <c r="J50" s="46"/>
      <c r="K50" s="46"/>
      <c r="L50" s="46"/>
      <c r="M50" s="46"/>
    </row>
    <row r="51" spans="1:13" x14ac:dyDescent="0.2">
      <c r="A51" s="46"/>
      <c r="B51" s="46"/>
      <c r="C51" s="46"/>
      <c r="D51" s="46"/>
      <c r="E51" s="46"/>
      <c r="F51" s="46"/>
      <c r="G51" s="46"/>
      <c r="H51" s="46"/>
      <c r="I51" s="46"/>
      <c r="J51" s="46"/>
      <c r="K51" s="46"/>
      <c r="L51" s="46"/>
      <c r="M51" s="46"/>
    </row>
    <row r="52" spans="1:13" x14ac:dyDescent="0.2">
      <c r="A52" s="46"/>
      <c r="B52" s="46"/>
      <c r="C52" s="46"/>
      <c r="D52" s="46"/>
      <c r="E52" s="46"/>
      <c r="F52" s="46"/>
      <c r="G52" s="46"/>
      <c r="H52" s="46"/>
      <c r="I52" s="46"/>
      <c r="J52" s="46"/>
      <c r="K52" s="46"/>
      <c r="L52" s="46"/>
      <c r="M52" s="46"/>
    </row>
    <row r="53" spans="1:13" x14ac:dyDescent="0.2">
      <c r="A53" s="21" t="s">
        <v>659</v>
      </c>
      <c r="B53" s="46"/>
      <c r="C53" s="46"/>
      <c r="D53" s="46"/>
      <c r="E53" s="46"/>
      <c r="F53" s="46"/>
      <c r="G53" s="46"/>
      <c r="H53" s="46"/>
      <c r="I53" s="46"/>
      <c r="J53" s="46"/>
      <c r="K53" s="46"/>
      <c r="L53" s="46"/>
      <c r="M53" s="46"/>
    </row>
    <row r="54" spans="1:13" ht="15" x14ac:dyDescent="0.2">
      <c r="A54" s="46"/>
      <c r="B54" s="100">
        <v>1</v>
      </c>
      <c r="C54" s="46"/>
      <c r="D54" s="46"/>
      <c r="E54" s="46"/>
      <c r="F54" s="46"/>
      <c r="G54" s="46"/>
      <c r="H54" s="46"/>
      <c r="I54" s="46"/>
      <c r="J54" s="46"/>
      <c r="K54" s="46"/>
      <c r="L54" s="46"/>
      <c r="M54" s="46"/>
    </row>
    <row r="55" spans="1:13" ht="15" x14ac:dyDescent="0.2">
      <c r="A55" s="46"/>
      <c r="B55" s="102">
        <v>1.5</v>
      </c>
      <c r="C55" s="46"/>
      <c r="D55" s="46"/>
      <c r="E55" s="46"/>
      <c r="F55" s="46"/>
      <c r="G55" s="46"/>
      <c r="H55" s="46"/>
      <c r="I55" s="46"/>
      <c r="J55" s="46"/>
      <c r="K55" s="46"/>
      <c r="L55" s="46"/>
      <c r="M55" s="46"/>
    </row>
    <row r="56" spans="1:13" ht="15" x14ac:dyDescent="0.2">
      <c r="A56" s="46"/>
      <c r="B56" s="100">
        <v>2</v>
      </c>
      <c r="C56" s="46"/>
      <c r="D56" s="46"/>
      <c r="E56" s="46"/>
      <c r="F56" s="46"/>
      <c r="G56" s="46"/>
      <c r="H56" s="46"/>
      <c r="I56" s="46"/>
      <c r="J56" s="46"/>
      <c r="K56" s="46"/>
      <c r="L56" s="46"/>
      <c r="M56" s="46"/>
    </row>
    <row r="57" spans="1:13" ht="15" x14ac:dyDescent="0.2">
      <c r="A57" s="46"/>
      <c r="B57" s="102">
        <v>2.5</v>
      </c>
      <c r="C57" s="46"/>
      <c r="D57" s="46"/>
      <c r="E57" s="46"/>
      <c r="F57" s="46"/>
      <c r="G57" s="46"/>
      <c r="H57" s="46"/>
      <c r="I57" s="46"/>
      <c r="J57" s="46"/>
      <c r="K57" s="46"/>
      <c r="L57" s="46"/>
      <c r="M57" s="46"/>
    </row>
    <row r="58" spans="1:13" ht="15" x14ac:dyDescent="0.2">
      <c r="A58" s="46"/>
      <c r="B58" s="100">
        <v>3</v>
      </c>
      <c r="C58" s="46"/>
      <c r="D58" s="46"/>
      <c r="E58" s="46"/>
      <c r="F58" s="46"/>
      <c r="G58" s="46"/>
      <c r="H58" s="46"/>
      <c r="I58" s="46"/>
      <c r="J58" s="46"/>
      <c r="K58" s="46"/>
      <c r="L58" s="46"/>
      <c r="M58" s="46"/>
    </row>
    <row r="59" spans="1:13" ht="15" x14ac:dyDescent="0.2">
      <c r="A59" s="46"/>
      <c r="B59" s="102">
        <v>3.5</v>
      </c>
      <c r="C59" s="46"/>
      <c r="D59" s="46"/>
      <c r="E59" s="46"/>
      <c r="F59" s="46"/>
      <c r="G59" s="46"/>
      <c r="H59" s="46"/>
      <c r="I59" s="46"/>
      <c r="J59" s="46"/>
      <c r="K59" s="46"/>
      <c r="L59" s="46"/>
      <c r="M59" s="46"/>
    </row>
    <row r="60" spans="1:13" x14ac:dyDescent="0.2">
      <c r="A60" s="46"/>
      <c r="B60" s="101">
        <v>4</v>
      </c>
      <c r="C60" s="46"/>
      <c r="D60" s="46"/>
      <c r="E60" s="46"/>
      <c r="F60" s="46"/>
      <c r="G60" s="46"/>
      <c r="H60" s="46"/>
      <c r="I60" s="46"/>
      <c r="J60" s="46"/>
      <c r="K60" s="46"/>
      <c r="L60" s="46"/>
      <c r="M60" s="46"/>
    </row>
    <row r="61" spans="1:13" ht="15" x14ac:dyDescent="0.2">
      <c r="A61" s="46"/>
      <c r="B61" s="102">
        <v>4.5</v>
      </c>
      <c r="C61" s="46"/>
      <c r="D61" s="46"/>
      <c r="E61" s="46"/>
      <c r="F61" s="46"/>
      <c r="G61" s="46"/>
      <c r="H61" s="46"/>
      <c r="I61" s="46"/>
      <c r="J61" s="46"/>
      <c r="K61" s="46"/>
      <c r="L61" s="46"/>
      <c r="M61" s="46"/>
    </row>
    <row r="62" spans="1:13" x14ac:dyDescent="0.2">
      <c r="A62" s="46"/>
      <c r="B62" s="101">
        <v>5</v>
      </c>
      <c r="C62" s="46"/>
      <c r="D62" s="46"/>
      <c r="E62" s="46"/>
      <c r="F62" s="46"/>
      <c r="G62" s="46"/>
      <c r="H62" s="46"/>
      <c r="I62" s="46"/>
      <c r="J62" s="46"/>
      <c r="K62" s="46"/>
      <c r="L62" s="46"/>
      <c r="M62" s="46"/>
    </row>
    <row r="63" spans="1:13" x14ac:dyDescent="0.2">
      <c r="A63" s="46"/>
      <c r="B63" s="46"/>
      <c r="C63" s="46"/>
      <c r="D63" s="46"/>
      <c r="E63" s="46"/>
      <c r="F63" s="46"/>
      <c r="G63" s="46"/>
      <c r="H63" s="46"/>
      <c r="I63" s="46"/>
      <c r="J63" s="46"/>
      <c r="K63" s="46"/>
      <c r="L63" s="46"/>
      <c r="M63" s="46"/>
    </row>
    <row r="64" spans="1:13" x14ac:dyDescent="0.2">
      <c r="A64" s="46"/>
      <c r="B64" s="46"/>
      <c r="C64" s="46"/>
      <c r="D64" s="46"/>
      <c r="E64" s="46"/>
      <c r="F64" s="46"/>
      <c r="G64" s="46"/>
      <c r="H64" s="46"/>
      <c r="I64" s="46"/>
      <c r="J64" s="46"/>
      <c r="K64" s="46"/>
      <c r="L64" s="46"/>
      <c r="M64" s="46"/>
    </row>
    <row r="65" spans="1:13" x14ac:dyDescent="0.2">
      <c r="A65" s="46"/>
      <c r="B65" s="46"/>
      <c r="C65" s="46"/>
      <c r="D65" s="46"/>
      <c r="E65" s="46"/>
      <c r="F65" s="46"/>
      <c r="G65" s="46"/>
      <c r="H65" s="46"/>
      <c r="I65" s="46"/>
      <c r="J65" s="46"/>
      <c r="K65" s="46"/>
      <c r="L65" s="46"/>
      <c r="M65" s="46"/>
    </row>
    <row r="66" spans="1:13" x14ac:dyDescent="0.2">
      <c r="A66" s="46"/>
      <c r="B66" s="46"/>
      <c r="C66" s="46"/>
      <c r="D66" s="46"/>
      <c r="E66" s="46"/>
      <c r="F66" s="46"/>
      <c r="G66" s="46"/>
      <c r="H66" s="46"/>
      <c r="I66" s="46"/>
      <c r="J66" s="46"/>
      <c r="K66" s="46"/>
      <c r="L66" s="46"/>
      <c r="M66" s="46"/>
    </row>
    <row r="67" spans="1:13" x14ac:dyDescent="0.2">
      <c r="A67" s="46"/>
      <c r="B67" s="46"/>
      <c r="C67" s="46"/>
      <c r="D67" s="46"/>
      <c r="E67" s="46"/>
      <c r="F67" s="46"/>
      <c r="G67" s="46"/>
      <c r="H67" s="46"/>
      <c r="I67" s="46"/>
      <c r="J67" s="46"/>
      <c r="K67" s="46"/>
      <c r="L67" s="46"/>
      <c r="M67" s="46"/>
    </row>
    <row r="68" spans="1:13" x14ac:dyDescent="0.2">
      <c r="A68" s="46"/>
      <c r="B68" s="46"/>
      <c r="C68" s="46"/>
      <c r="D68" s="46"/>
      <c r="E68" s="46"/>
      <c r="F68" s="46"/>
      <c r="G68" s="46"/>
      <c r="H68" s="46"/>
      <c r="I68" s="46"/>
      <c r="J68" s="46"/>
      <c r="K68" s="46"/>
      <c r="L68" s="46"/>
      <c r="M68" s="46"/>
    </row>
    <row r="69" spans="1:13" x14ac:dyDescent="0.2">
      <c r="A69" s="46"/>
      <c r="B69" s="46"/>
      <c r="C69" s="46"/>
      <c r="D69" s="46"/>
      <c r="E69" s="46"/>
      <c r="F69" s="46"/>
      <c r="G69" s="46"/>
      <c r="H69" s="46"/>
      <c r="I69" s="46"/>
      <c r="J69" s="46"/>
      <c r="K69" s="46"/>
      <c r="L69" s="46"/>
      <c r="M69" s="46"/>
    </row>
    <row r="70" spans="1:13" x14ac:dyDescent="0.2">
      <c r="A70" s="46"/>
      <c r="B70" s="46"/>
      <c r="C70" s="46"/>
      <c r="D70" s="46"/>
      <c r="E70" s="46"/>
      <c r="F70" s="46"/>
      <c r="G70" s="46"/>
      <c r="H70" s="46"/>
      <c r="I70" s="46"/>
      <c r="J70" s="46"/>
      <c r="K70" s="46"/>
      <c r="L70" s="46"/>
      <c r="M70" s="46"/>
    </row>
  </sheetData>
  <sheetProtection selectLockedCells="1" selectUnlockedCells="1"/>
  <phoneticPr fontId="0" type="noConversion"/>
  <pageMargins left="0.59055118110236227" right="0.59055118110236227" top="0.98425196850393704" bottom="0.98425196850393704" header="0.51181102362204722" footer="0.51181102362204722"/>
  <pageSetup paperSize="9"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6"/>
  <dimension ref="A1:I46"/>
  <sheetViews>
    <sheetView topLeftCell="A4" workbookViewId="0">
      <selection activeCell="C28" sqref="C28"/>
    </sheetView>
  </sheetViews>
  <sheetFormatPr baseColWidth="10" defaultRowHeight="12.75" x14ac:dyDescent="0.2"/>
  <cols>
    <col min="1" max="1" width="34.5703125" customWidth="1"/>
  </cols>
  <sheetData>
    <row r="1" spans="1:9" x14ac:dyDescent="0.2">
      <c r="E1" s="155"/>
    </row>
    <row r="2" spans="1:9" x14ac:dyDescent="0.2">
      <c r="A2" s="2" t="s">
        <v>230</v>
      </c>
      <c r="B2" s="2">
        <v>1</v>
      </c>
      <c r="C2" s="45" t="s">
        <v>57</v>
      </c>
      <c r="D2" s="2"/>
    </row>
    <row r="3" spans="1:9" x14ac:dyDescent="0.2">
      <c r="A3" s="2" t="s">
        <v>231</v>
      </c>
      <c r="B3" s="2">
        <v>2</v>
      </c>
      <c r="C3" s="363" t="s">
        <v>60</v>
      </c>
      <c r="D3" s="2"/>
    </row>
    <row r="4" spans="1:9" x14ac:dyDescent="0.2">
      <c r="A4" s="2" t="s">
        <v>238</v>
      </c>
      <c r="B4" s="2">
        <v>11</v>
      </c>
      <c r="C4" s="45" t="s">
        <v>67</v>
      </c>
      <c r="D4" s="2"/>
    </row>
    <row r="5" spans="1:9" x14ac:dyDescent="0.2">
      <c r="A5" s="2" t="s">
        <v>239</v>
      </c>
      <c r="B5" s="2">
        <v>12</v>
      </c>
      <c r="C5" s="45" t="s">
        <v>652</v>
      </c>
      <c r="D5" s="2"/>
    </row>
    <row r="6" spans="1:9" x14ac:dyDescent="0.2">
      <c r="A6" s="45" t="s">
        <v>237</v>
      </c>
      <c r="B6" s="2">
        <v>1</v>
      </c>
      <c r="C6" s="45" t="s">
        <v>57</v>
      </c>
      <c r="D6" s="2"/>
    </row>
    <row r="7" spans="1:9" x14ac:dyDescent="0.2">
      <c r="A7" s="2" t="s">
        <v>235</v>
      </c>
      <c r="B7" s="2">
        <v>1</v>
      </c>
      <c r="C7" s="45" t="s">
        <v>57</v>
      </c>
      <c r="D7" s="2"/>
    </row>
    <row r="8" spans="1:9" x14ac:dyDescent="0.2">
      <c r="A8" s="2" t="s">
        <v>232</v>
      </c>
      <c r="B8" s="2">
        <v>3</v>
      </c>
      <c r="C8" s="45" t="s">
        <v>64</v>
      </c>
      <c r="D8" s="2"/>
      <c r="G8" s="2" t="s">
        <v>230</v>
      </c>
      <c r="H8" s="2">
        <v>1</v>
      </c>
      <c r="I8" s="45" t="s">
        <v>57</v>
      </c>
    </row>
    <row r="9" spans="1:9" x14ac:dyDescent="0.2">
      <c r="A9" s="2" t="s">
        <v>236</v>
      </c>
      <c r="B9" s="2">
        <v>1</v>
      </c>
      <c r="C9" s="45" t="s">
        <v>57</v>
      </c>
      <c r="D9" s="2"/>
      <c r="E9" s="45" t="s">
        <v>652</v>
      </c>
      <c r="G9" s="2" t="s">
        <v>231</v>
      </c>
      <c r="H9" s="2">
        <v>2</v>
      </c>
      <c r="I9" s="363" t="s">
        <v>60</v>
      </c>
    </row>
    <row r="10" spans="1:9" x14ac:dyDescent="0.2">
      <c r="A10" s="2" t="s">
        <v>241</v>
      </c>
      <c r="B10" s="2">
        <v>14</v>
      </c>
      <c r="C10" s="45" t="s">
        <v>61</v>
      </c>
      <c r="D10" s="2"/>
      <c r="E10" s="45" t="s">
        <v>65</v>
      </c>
      <c r="G10" s="2" t="s">
        <v>232</v>
      </c>
      <c r="H10" s="2">
        <v>3</v>
      </c>
      <c r="I10" s="45" t="s">
        <v>64</v>
      </c>
    </row>
    <row r="11" spans="1:9" x14ac:dyDescent="0.2">
      <c r="A11" s="2" t="s">
        <v>243</v>
      </c>
      <c r="B11" s="2">
        <v>14</v>
      </c>
      <c r="C11" s="45" t="s">
        <v>61</v>
      </c>
      <c r="D11" s="2"/>
      <c r="E11" s="45" t="s">
        <v>61</v>
      </c>
      <c r="G11" s="2" t="s">
        <v>233</v>
      </c>
      <c r="H11" s="2">
        <v>4</v>
      </c>
      <c r="I11" s="45" t="s">
        <v>212</v>
      </c>
    </row>
    <row r="12" spans="1:9" x14ac:dyDescent="0.2">
      <c r="A12" s="45" t="s">
        <v>592</v>
      </c>
      <c r="B12" s="2">
        <v>10</v>
      </c>
      <c r="C12" s="45" t="s">
        <v>65</v>
      </c>
      <c r="D12" s="2"/>
      <c r="E12" s="45" t="s">
        <v>209</v>
      </c>
      <c r="G12" s="2" t="s">
        <v>234</v>
      </c>
      <c r="H12" s="2">
        <v>5</v>
      </c>
      <c r="I12" s="45" t="s">
        <v>215</v>
      </c>
    </row>
    <row r="13" spans="1:9" x14ac:dyDescent="0.2">
      <c r="A13" s="2" t="s">
        <v>303</v>
      </c>
      <c r="B13" s="2">
        <v>16</v>
      </c>
      <c r="C13" s="45" t="s">
        <v>65</v>
      </c>
      <c r="D13" s="2"/>
      <c r="E13" s="45" t="s">
        <v>64</v>
      </c>
      <c r="G13" s="45" t="s">
        <v>592</v>
      </c>
      <c r="H13" s="2">
        <v>10</v>
      </c>
      <c r="I13" s="45" t="s">
        <v>65</v>
      </c>
    </row>
    <row r="14" spans="1:9" x14ac:dyDescent="0.2">
      <c r="A14" s="2" t="s">
        <v>233</v>
      </c>
      <c r="B14" s="2">
        <v>4</v>
      </c>
      <c r="C14" s="45" t="s">
        <v>212</v>
      </c>
      <c r="D14" s="2"/>
      <c r="E14" s="45" t="s">
        <v>215</v>
      </c>
      <c r="G14" s="2" t="s">
        <v>238</v>
      </c>
      <c r="H14" s="2">
        <v>11</v>
      </c>
      <c r="I14" s="45" t="s">
        <v>67</v>
      </c>
    </row>
    <row r="15" spans="1:9" x14ac:dyDescent="0.2">
      <c r="A15" s="2" t="s">
        <v>234</v>
      </c>
      <c r="B15" s="2">
        <v>5</v>
      </c>
      <c r="C15" s="45" t="s">
        <v>215</v>
      </c>
      <c r="D15" s="2"/>
      <c r="E15" s="45" t="s">
        <v>67</v>
      </c>
      <c r="G15" s="2" t="s">
        <v>239</v>
      </c>
      <c r="H15" s="2">
        <v>12</v>
      </c>
      <c r="I15" s="45" t="s">
        <v>652</v>
      </c>
    </row>
    <row r="16" spans="1:9" x14ac:dyDescent="0.2">
      <c r="A16" s="2" t="s">
        <v>245</v>
      </c>
      <c r="B16" s="2">
        <v>14</v>
      </c>
      <c r="C16" s="45" t="s">
        <v>61</v>
      </c>
      <c r="D16" s="2"/>
      <c r="E16" s="45" t="s">
        <v>57</v>
      </c>
      <c r="G16" s="2" t="s">
        <v>240</v>
      </c>
      <c r="H16" s="2">
        <v>13</v>
      </c>
      <c r="I16" s="45" t="s">
        <v>209</v>
      </c>
    </row>
    <row r="17" spans="1:9" x14ac:dyDescent="0.2">
      <c r="A17" s="2" t="s">
        <v>244</v>
      </c>
      <c r="B17" s="2">
        <v>14</v>
      </c>
      <c r="C17" s="45" t="s">
        <v>61</v>
      </c>
      <c r="D17" s="2"/>
      <c r="E17" s="45" t="s">
        <v>650</v>
      </c>
      <c r="G17" s="2" t="s">
        <v>241</v>
      </c>
      <c r="H17" s="2">
        <v>14</v>
      </c>
      <c r="I17" s="45" t="s">
        <v>61</v>
      </c>
    </row>
    <row r="18" spans="1:9" x14ac:dyDescent="0.2">
      <c r="A18" s="2" t="s">
        <v>593</v>
      </c>
      <c r="B18" s="2">
        <v>14</v>
      </c>
      <c r="C18" s="45" t="s">
        <v>61</v>
      </c>
      <c r="D18" s="2"/>
      <c r="E18" s="45" t="s">
        <v>212</v>
      </c>
      <c r="G18" s="2" t="s">
        <v>242</v>
      </c>
      <c r="H18" s="2">
        <v>15</v>
      </c>
      <c r="I18" s="45" t="s">
        <v>652</v>
      </c>
    </row>
    <row r="19" spans="1:9" x14ac:dyDescent="0.2">
      <c r="A19" s="2" t="s">
        <v>242</v>
      </c>
      <c r="B19" s="2">
        <v>15</v>
      </c>
      <c r="C19" s="45" t="s">
        <v>652</v>
      </c>
      <c r="D19" s="2"/>
      <c r="G19" s="2" t="s">
        <v>303</v>
      </c>
      <c r="H19" s="2">
        <v>16</v>
      </c>
      <c r="I19" s="45" t="s">
        <v>65</v>
      </c>
    </row>
    <row r="20" spans="1:9" x14ac:dyDescent="0.2">
      <c r="A20" s="2" t="s">
        <v>240</v>
      </c>
      <c r="B20" s="2">
        <v>13</v>
      </c>
      <c r="C20" s="45" t="s">
        <v>209</v>
      </c>
      <c r="D20" s="2"/>
    </row>
    <row r="28" spans="1:9" x14ac:dyDescent="0.2">
      <c r="C28" s="2">
        <v>1</v>
      </c>
      <c r="D28" s="45" t="s">
        <v>57</v>
      </c>
    </row>
    <row r="29" spans="1:9" x14ac:dyDescent="0.2">
      <c r="C29" s="2">
        <v>1</v>
      </c>
      <c r="D29" s="45" t="s">
        <v>57</v>
      </c>
    </row>
    <row r="30" spans="1:9" x14ac:dyDescent="0.2">
      <c r="C30" s="2">
        <v>1</v>
      </c>
      <c r="D30" s="45" t="s">
        <v>57</v>
      </c>
    </row>
    <row r="31" spans="1:9" x14ac:dyDescent="0.2">
      <c r="C31" s="2">
        <v>1</v>
      </c>
      <c r="D31" s="45" t="s">
        <v>57</v>
      </c>
    </row>
    <row r="32" spans="1:9" x14ac:dyDescent="0.2">
      <c r="C32" s="2">
        <v>2</v>
      </c>
      <c r="D32" s="45" t="s">
        <v>650</v>
      </c>
    </row>
    <row r="33" spans="3:4" x14ac:dyDescent="0.2">
      <c r="C33" s="2">
        <v>3</v>
      </c>
      <c r="D33" s="45" t="s">
        <v>64</v>
      </c>
    </row>
    <row r="34" spans="3:4" x14ac:dyDescent="0.2">
      <c r="C34" s="2">
        <v>4</v>
      </c>
      <c r="D34" s="45" t="s">
        <v>212</v>
      </c>
    </row>
    <row r="35" spans="3:4" x14ac:dyDescent="0.2">
      <c r="C35" s="2">
        <v>5</v>
      </c>
      <c r="D35" s="45" t="s">
        <v>215</v>
      </c>
    </row>
    <row r="36" spans="3:4" x14ac:dyDescent="0.2">
      <c r="C36" s="2">
        <v>10</v>
      </c>
      <c r="D36" s="45" t="s">
        <v>65</v>
      </c>
    </row>
    <row r="37" spans="3:4" x14ac:dyDescent="0.2">
      <c r="C37" s="2">
        <v>11</v>
      </c>
      <c r="D37" s="45" t="s">
        <v>67</v>
      </c>
    </row>
    <row r="38" spans="3:4" x14ac:dyDescent="0.2">
      <c r="C38" s="2">
        <v>12</v>
      </c>
      <c r="D38" s="45" t="s">
        <v>652</v>
      </c>
    </row>
    <row r="39" spans="3:4" x14ac:dyDescent="0.2">
      <c r="C39" s="2">
        <v>13</v>
      </c>
      <c r="D39" s="45" t="s">
        <v>209</v>
      </c>
    </row>
    <row r="40" spans="3:4" x14ac:dyDescent="0.2">
      <c r="C40" s="2">
        <v>14</v>
      </c>
      <c r="D40" s="45" t="s">
        <v>61</v>
      </c>
    </row>
    <row r="41" spans="3:4" x14ac:dyDescent="0.2">
      <c r="C41" s="2">
        <v>14</v>
      </c>
      <c r="D41" s="45" t="s">
        <v>61</v>
      </c>
    </row>
    <row r="42" spans="3:4" x14ac:dyDescent="0.2">
      <c r="C42" s="2">
        <v>14</v>
      </c>
      <c r="D42" s="45" t="s">
        <v>61</v>
      </c>
    </row>
    <row r="43" spans="3:4" x14ac:dyDescent="0.2">
      <c r="C43" s="2">
        <v>14</v>
      </c>
      <c r="D43" s="45" t="s">
        <v>61</v>
      </c>
    </row>
    <row r="44" spans="3:4" x14ac:dyDescent="0.2">
      <c r="C44" s="2">
        <v>14</v>
      </c>
      <c r="D44" s="45" t="s">
        <v>61</v>
      </c>
    </row>
    <row r="45" spans="3:4" x14ac:dyDescent="0.2">
      <c r="C45" s="2">
        <v>15</v>
      </c>
      <c r="D45" s="45" t="s">
        <v>652</v>
      </c>
    </row>
    <row r="46" spans="3:4" x14ac:dyDescent="0.2">
      <c r="C46" s="2">
        <v>16</v>
      </c>
      <c r="D46" s="45" t="s">
        <v>65</v>
      </c>
    </row>
  </sheetData>
  <sheetProtection selectLockedCells="1" selectUnlockedCells="1"/>
  <sortState ref="A3:C20">
    <sortCondition ref="A2"/>
  </sortState>
  <phoneticPr fontId="9" type="noConversion"/>
  <pageMargins left="0.78740157499999996" right="0.78740157499999996" top="0.984251969" bottom="0.984251969" header="0.4921259845" footer="0.4921259845"/>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7"/>
  <dimension ref="A1"/>
  <sheetViews>
    <sheetView workbookViewId="0"/>
  </sheetViews>
  <sheetFormatPr baseColWidth="10" defaultRowHeight="12.75" x14ac:dyDescent="0.2"/>
  <sheetData/>
  <phoneticPr fontId="10" type="noConversion"/>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8"/>
  <dimension ref="A1"/>
  <sheetViews>
    <sheetView workbookViewId="0"/>
  </sheetViews>
  <sheetFormatPr baseColWidth="10" defaultRowHeight="12.75" x14ac:dyDescent="0.2"/>
  <sheetData/>
  <phoneticPr fontId="10"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10</vt:i4>
      </vt:variant>
      <vt:variant>
        <vt:lpstr>Plages nommées</vt:lpstr>
      </vt:variant>
      <vt:variant>
        <vt:i4>10</vt:i4>
      </vt:variant>
    </vt:vector>
  </HeadingPairs>
  <TitlesOfParts>
    <vt:vector size="20" baseType="lpstr">
      <vt:lpstr>Avertissement</vt:lpstr>
      <vt:lpstr>Note Liminaire</vt:lpstr>
      <vt:lpstr>simulateur</vt:lpstr>
      <vt:lpstr>ch soc</vt:lpstr>
      <vt:lpstr>ch gerant soc </vt:lpstr>
      <vt:lpstr>ir</vt:lpstr>
      <vt:lpstr>base profession</vt:lpstr>
      <vt:lpstr>Feuil1</vt:lpstr>
      <vt:lpstr>Feuil2</vt:lpstr>
      <vt:lpstr>Feuil3</vt:lpstr>
      <vt:lpstr>Médecin</vt:lpstr>
      <vt:lpstr>nombre_parts</vt:lpstr>
      <vt:lpstr>Avertissement!Print_Area</vt:lpstr>
      <vt:lpstr>'ch gerant soc '!Print_Area</vt:lpstr>
      <vt:lpstr>'ch soc'!Print_Area</vt:lpstr>
      <vt:lpstr>'Note Liminaire'!Print_Area</vt:lpstr>
      <vt:lpstr>simulateur!Print_Area</vt:lpstr>
      <vt:lpstr>Profession</vt:lpstr>
      <vt:lpstr>source_nombre_parts</vt:lpstr>
      <vt:lpstr>simulateur!Zone_d_impression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PG</dc:creator>
  <cp:lastModifiedBy>JEXTRA4</cp:lastModifiedBy>
  <cp:lastPrinted>2011-09-08T13:19:20Z</cp:lastPrinted>
  <dcterms:created xsi:type="dcterms:W3CDTF">2002-10-17T16:00:39Z</dcterms:created>
  <dcterms:modified xsi:type="dcterms:W3CDTF">2014-07-29T09:59:45Z</dcterms:modified>
</cp:coreProperties>
</file>